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120" windowHeight="7755"/>
  </bookViews>
  <sheets>
    <sheet name="Tabelle1" sheetId="1" r:id="rId1"/>
    <sheet name="Tabelle2" sheetId="2" r:id="rId2"/>
    <sheet name="Tabelle3" sheetId="3" r:id="rId3"/>
    <sheet name="Tabelle4" sheetId="4" r:id="rId4"/>
  </sheets>
  <calcPr calcId="124519"/>
</workbook>
</file>

<file path=xl/calcChain.xml><?xml version="1.0" encoding="utf-8"?>
<calcChain xmlns="http://schemas.openxmlformats.org/spreadsheetml/2006/main">
  <c r="AL75" i="1"/>
  <c r="D16" l="1"/>
  <c r="F8"/>
  <c r="E8"/>
  <c r="X134"/>
  <c r="X129"/>
  <c r="D80"/>
  <c r="C80"/>
  <c r="B80"/>
  <c r="AG127" l="1"/>
  <c r="B16"/>
  <c r="AJ127"/>
  <c r="U80"/>
  <c r="C16" s="1"/>
  <c r="AQ129"/>
  <c r="AQ134" s="1"/>
  <c r="AG132"/>
  <c r="AI127"/>
  <c r="AH127"/>
  <c r="AJ132"/>
  <c r="B105"/>
  <c r="B106" s="1"/>
  <c r="B84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I83"/>
  <c r="J83"/>
  <c r="J84" s="1"/>
  <c r="J85" s="1"/>
  <c r="J86" s="1"/>
  <c r="J87" s="1"/>
  <c r="J88" s="1"/>
  <c r="J89" s="1"/>
  <c r="J90" s="1"/>
  <c r="J91" s="1"/>
  <c r="J92" s="1"/>
  <c r="J93" s="1"/>
  <c r="J94" s="1"/>
  <c r="J95" s="1"/>
  <c r="J96" s="1"/>
  <c r="J97" s="1"/>
  <c r="J98" s="1"/>
  <c r="J99" s="1"/>
  <c r="J100" s="1"/>
  <c r="J101" s="1"/>
  <c r="J102" l="1"/>
  <c r="J104" s="1"/>
  <c r="J105" s="1"/>
  <c r="J106" s="1"/>
  <c r="J107" s="1"/>
  <c r="J108" s="1"/>
  <c r="J109" s="1"/>
  <c r="J110" s="1"/>
  <c r="J111" s="1"/>
  <c r="J112" s="1"/>
  <c r="J113" s="1"/>
  <c r="J114" s="1"/>
  <c r="J115" s="1"/>
  <c r="J116" s="1"/>
  <c r="J117" s="1"/>
  <c r="J118" s="1"/>
  <c r="J119" s="1"/>
  <c r="J120" s="1"/>
  <c r="J121" s="1"/>
  <c r="J122" s="1"/>
  <c r="J123" s="1"/>
  <c r="B107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AH132"/>
  <c r="AI132"/>
  <c r="I84"/>
  <c r="H83"/>
  <c r="H84" l="1"/>
  <c r="I85"/>
  <c r="I86" l="1"/>
  <c r="H85"/>
  <c r="H86" l="1"/>
  <c r="I87"/>
  <c r="I88" l="1"/>
  <c r="H87"/>
  <c r="H88" l="1"/>
  <c r="I89"/>
  <c r="I90" l="1"/>
  <c r="H89"/>
  <c r="H90" l="1"/>
  <c r="I91"/>
  <c r="I92" l="1"/>
  <c r="H91"/>
  <c r="H92" l="1"/>
  <c r="I93"/>
  <c r="I94" l="1"/>
  <c r="H93"/>
  <c r="H94" l="1"/>
  <c r="I95"/>
  <c r="I96" l="1"/>
  <c r="H95"/>
  <c r="H96" l="1"/>
  <c r="I97"/>
  <c r="I98" l="1"/>
  <c r="H97"/>
  <c r="H98" l="1"/>
  <c r="I99"/>
  <c r="I100" l="1"/>
  <c r="H99"/>
  <c r="H100" l="1"/>
  <c r="I101"/>
  <c r="I102" s="1"/>
  <c r="H101" l="1"/>
  <c r="H102" s="1"/>
  <c r="I104" l="1"/>
  <c r="H104" l="1"/>
  <c r="I105"/>
  <c r="I106" l="1"/>
  <c r="H105"/>
  <c r="H106" l="1"/>
  <c r="I107"/>
  <c r="I108" l="1"/>
  <c r="H107"/>
  <c r="H108" l="1"/>
  <c r="I109"/>
  <c r="I110" l="1"/>
  <c r="H109"/>
  <c r="H110" l="1"/>
  <c r="I111"/>
  <c r="I112" l="1"/>
  <c r="H111"/>
  <c r="H112" l="1"/>
  <c r="I113"/>
  <c r="I114" l="1"/>
  <c r="H113"/>
  <c r="H114" l="1"/>
  <c r="I115"/>
  <c r="I116" l="1"/>
  <c r="H115"/>
  <c r="H116" l="1"/>
  <c r="I117"/>
  <c r="I118" l="1"/>
  <c r="H117"/>
  <c r="H118" l="1"/>
  <c r="I119"/>
  <c r="I120" l="1"/>
  <c r="H119"/>
  <c r="H120" l="1"/>
  <c r="I121"/>
  <c r="I122" l="1"/>
  <c r="I123" s="1"/>
  <c r="H121"/>
  <c r="H122" l="1"/>
  <c r="H123" s="1"/>
  <c r="A16" l="1"/>
  <c r="R73" l="1"/>
  <c r="R77"/>
  <c r="R76"/>
  <c r="A47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R71"/>
  <c r="R72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49"/>
  <c r="R48"/>
  <c r="R46"/>
  <c r="AI42"/>
  <c r="U42"/>
  <c r="B38"/>
  <c r="B40" s="1"/>
  <c r="D40" s="1"/>
  <c r="D36"/>
  <c r="F36" s="1"/>
  <c r="C36"/>
  <c r="H36" s="1"/>
  <c r="B36"/>
  <c r="B34"/>
  <c r="F32"/>
  <c r="E32"/>
  <c r="D32"/>
  <c r="Q40" s="1"/>
  <c r="F16" s="1"/>
  <c r="C32"/>
  <c r="P40" s="1"/>
  <c r="E16" s="1"/>
  <c r="F15"/>
  <c r="E15"/>
  <c r="H6"/>
  <c r="R47"/>
  <c r="C34" l="1"/>
  <c r="D34"/>
  <c r="E34"/>
  <c r="F34"/>
  <c r="G34"/>
  <c r="H34"/>
  <c r="I34"/>
  <c r="J34"/>
  <c r="K34"/>
  <c r="L34"/>
  <c r="M34"/>
  <c r="N34"/>
  <c r="O34"/>
  <c r="P34"/>
  <c r="Q34" s="1"/>
  <c r="H7" s="1"/>
  <c r="G36"/>
  <c r="C38"/>
  <c r="D38" l="1"/>
  <c r="K36"/>
  <c r="I36"/>
  <c r="J36" s="1"/>
  <c r="L36" s="1"/>
  <c r="M36" s="1"/>
  <c r="N36" s="1"/>
  <c r="B47" s="1"/>
  <c r="B48" l="1"/>
  <c r="B46"/>
  <c r="C40"/>
  <c r="E40" s="1"/>
  <c r="B42"/>
  <c r="J40"/>
  <c r="I40"/>
  <c r="H40"/>
  <c r="F40"/>
  <c r="G40"/>
  <c r="K40" s="1"/>
  <c r="F38"/>
  <c r="G38" s="1"/>
  <c r="H38" s="1"/>
  <c r="E38"/>
  <c r="T38" s="1"/>
  <c r="T46" l="1"/>
  <c r="C46"/>
  <c r="D46"/>
  <c r="E46"/>
  <c r="F46"/>
  <c r="G46"/>
  <c r="L46"/>
  <c r="N46"/>
  <c r="O46"/>
  <c r="P46"/>
  <c r="Q46"/>
  <c r="S46"/>
  <c r="T48"/>
  <c r="B49"/>
  <c r="C48"/>
  <c r="D48"/>
  <c r="E48"/>
  <c r="F48"/>
  <c r="G48"/>
  <c r="L48"/>
  <c r="N48"/>
  <c r="O48"/>
  <c r="P48"/>
  <c r="Q48"/>
  <c r="S48"/>
  <c r="C47"/>
  <c r="D47"/>
  <c r="E47"/>
  <c r="F47"/>
  <c r="G47"/>
  <c r="L47"/>
  <c r="N47"/>
  <c r="O47"/>
  <c r="P47"/>
  <c r="Q47"/>
  <c r="S47"/>
  <c r="T47"/>
  <c r="I38"/>
  <c r="J38" s="1"/>
  <c r="M40"/>
  <c r="L40"/>
  <c r="N40" s="1"/>
  <c r="AJ42" s="1"/>
  <c r="AH42"/>
  <c r="AG42"/>
  <c r="N42"/>
  <c r="L42"/>
  <c r="G42"/>
  <c r="F42"/>
  <c r="E42"/>
  <c r="D42"/>
  <c r="C42"/>
  <c r="U48" l="1"/>
  <c r="Y48" s="1"/>
  <c r="V48"/>
  <c r="Z48" s="1"/>
  <c r="AC48" s="1"/>
  <c r="W48"/>
  <c r="AA48" s="1"/>
  <c r="AE48" s="1"/>
  <c r="AK48" s="1"/>
  <c r="X48"/>
  <c r="AB48" s="1"/>
  <c r="AF48" s="1"/>
  <c r="J48"/>
  <c r="K48" s="1"/>
  <c r="H48"/>
  <c r="I48" s="1"/>
  <c r="T49"/>
  <c r="S49"/>
  <c r="Q49"/>
  <c r="P49"/>
  <c r="O49"/>
  <c r="N49"/>
  <c r="L49"/>
  <c r="G49"/>
  <c r="F49"/>
  <c r="E49"/>
  <c r="D49"/>
  <c r="C49"/>
  <c r="B50"/>
  <c r="U46"/>
  <c r="Y46" s="1"/>
  <c r="V46"/>
  <c r="Z46" s="1"/>
  <c r="AC46" s="1"/>
  <c r="W46"/>
  <c r="AA46" s="1"/>
  <c r="AE46" s="1"/>
  <c r="AK46" s="1"/>
  <c r="X46"/>
  <c r="AB46" s="1"/>
  <c r="AF46" s="1"/>
  <c r="J46"/>
  <c r="K46" s="1"/>
  <c r="H46"/>
  <c r="I46" s="1"/>
  <c r="M48"/>
  <c r="M46"/>
  <c r="X47"/>
  <c r="AB47" s="1"/>
  <c r="AF47" s="1"/>
  <c r="W47"/>
  <c r="AA47" s="1"/>
  <c r="V47"/>
  <c r="Z47" s="1"/>
  <c r="U47"/>
  <c r="Y47" s="1"/>
  <c r="J47"/>
  <c r="K47" s="1"/>
  <c r="H47"/>
  <c r="I47" s="1"/>
  <c r="AC47"/>
  <c r="M47"/>
  <c r="J42"/>
  <c r="K42" s="1"/>
  <c r="H42"/>
  <c r="I42" s="1"/>
  <c r="AB42"/>
  <c r="AA42"/>
  <c r="Z42"/>
  <c r="Y42"/>
  <c r="X42"/>
  <c r="W42"/>
  <c r="V42"/>
  <c r="T42"/>
  <c r="S42"/>
  <c r="R42"/>
  <c r="Q42"/>
  <c r="O42"/>
  <c r="P42" s="1"/>
  <c r="AE42"/>
  <c r="AC42"/>
  <c r="AD42" s="1"/>
  <c r="AF42"/>
  <c r="O40"/>
  <c r="AK42" s="1"/>
  <c r="K38"/>
  <c r="O36" l="1"/>
  <c r="I16" s="1"/>
  <c r="AN46"/>
  <c r="AG46"/>
  <c r="C50"/>
  <c r="D50"/>
  <c r="E50"/>
  <c r="F50"/>
  <c r="G50"/>
  <c r="L50"/>
  <c r="N50"/>
  <c r="O50"/>
  <c r="P50"/>
  <c r="Q50"/>
  <c r="S50"/>
  <c r="T50"/>
  <c r="B51"/>
  <c r="J49"/>
  <c r="K49" s="1"/>
  <c r="H49"/>
  <c r="I49" s="1"/>
  <c r="X49"/>
  <c r="AB49" s="1"/>
  <c r="AF49" s="1"/>
  <c r="U49"/>
  <c r="Y49" s="1"/>
  <c r="AD49" s="1"/>
  <c r="V49"/>
  <c r="Z49" s="1"/>
  <c r="AC49" s="1"/>
  <c r="W49"/>
  <c r="AA49" s="1"/>
  <c r="AE49" s="1"/>
  <c r="AK49" s="1"/>
  <c r="AN48"/>
  <c r="AG48"/>
  <c r="AD46"/>
  <c r="M49"/>
  <c r="AI49" s="1"/>
  <c r="AM49" s="1"/>
  <c r="AD48"/>
  <c r="AN47"/>
  <c r="AG47"/>
  <c r="AD47"/>
  <c r="AE47"/>
  <c r="AK47" s="1"/>
  <c r="O38"/>
  <c r="P38" s="1"/>
  <c r="N38"/>
  <c r="AM42"/>
  <c r="AL42"/>
  <c r="AN42"/>
  <c r="AO42"/>
  <c r="AQ42" s="1"/>
  <c r="L38"/>
  <c r="M38" s="1"/>
  <c r="H16" l="1"/>
  <c r="F80"/>
  <c r="G83" s="1"/>
  <c r="G84" s="1"/>
  <c r="G85" s="1"/>
  <c r="G86" s="1"/>
  <c r="G87" s="1"/>
  <c r="G88" s="1"/>
  <c r="G89" s="1"/>
  <c r="G90" s="1"/>
  <c r="G91" s="1"/>
  <c r="G92" s="1"/>
  <c r="G93" s="1"/>
  <c r="G94" s="1"/>
  <c r="G95" s="1"/>
  <c r="G96" s="1"/>
  <c r="G97" s="1"/>
  <c r="G98" s="1"/>
  <c r="G99" s="1"/>
  <c r="G100" s="1"/>
  <c r="G101" s="1"/>
  <c r="AJ48"/>
  <c r="AH48"/>
  <c r="AL48" s="1"/>
  <c r="AJ46"/>
  <c r="AH46"/>
  <c r="AL46" s="1"/>
  <c r="AJ49"/>
  <c r="AH49"/>
  <c r="AL49" s="1"/>
  <c r="AN49"/>
  <c r="AG49"/>
  <c r="C51"/>
  <c r="D51"/>
  <c r="E51"/>
  <c r="F51"/>
  <c r="G51"/>
  <c r="L51"/>
  <c r="N51"/>
  <c r="O51"/>
  <c r="P51"/>
  <c r="Q51"/>
  <c r="S51"/>
  <c r="T51"/>
  <c r="B52"/>
  <c r="U50"/>
  <c r="Y50" s="1"/>
  <c r="V50"/>
  <c r="Z50" s="1"/>
  <c r="W50"/>
  <c r="AA50" s="1"/>
  <c r="X50"/>
  <c r="AB50" s="1"/>
  <c r="AF50" s="1"/>
  <c r="H50"/>
  <c r="I50" s="1"/>
  <c r="J50"/>
  <c r="K50" s="1"/>
  <c r="AI48"/>
  <c r="AM48" s="1"/>
  <c r="AI46"/>
  <c r="AM46" s="1"/>
  <c r="AC50"/>
  <c r="M50"/>
  <c r="AJ47"/>
  <c r="AH47"/>
  <c r="AL47" s="1"/>
  <c r="AI47"/>
  <c r="AM47" s="1"/>
  <c r="Q38"/>
  <c r="R38" s="1"/>
  <c r="S38" s="1"/>
  <c r="AP42"/>
  <c r="E80" s="1"/>
  <c r="G102" l="1"/>
  <c r="G16"/>
  <c r="AO46"/>
  <c r="AO47" s="1"/>
  <c r="AO48" s="1"/>
  <c r="AO49" s="1"/>
  <c r="AO50" s="1"/>
  <c r="AO51" s="1"/>
  <c r="AO52" s="1"/>
  <c r="AO53" s="1"/>
  <c r="AO54" s="1"/>
  <c r="AO55" s="1"/>
  <c r="AO56" s="1"/>
  <c r="AO57" s="1"/>
  <c r="AO58" s="1"/>
  <c r="AO59" s="1"/>
  <c r="AO60" s="1"/>
  <c r="AO61" s="1"/>
  <c r="AO62" s="1"/>
  <c r="AO63" s="1"/>
  <c r="AO64" s="1"/>
  <c r="AO65" s="1"/>
  <c r="AO66" s="1"/>
  <c r="AO67" s="1"/>
  <c r="AO68" s="1"/>
  <c r="AO69" s="1"/>
  <c r="AO70" s="1"/>
  <c r="AO71" s="1"/>
  <c r="AO72" s="1"/>
  <c r="AO73" s="1"/>
  <c r="AG50"/>
  <c r="AN50"/>
  <c r="C52"/>
  <c r="D52"/>
  <c r="E52"/>
  <c r="F52"/>
  <c r="G52"/>
  <c r="L52"/>
  <c r="N52"/>
  <c r="O52"/>
  <c r="P52"/>
  <c r="Q52"/>
  <c r="S52"/>
  <c r="T52"/>
  <c r="B53"/>
  <c r="U51"/>
  <c r="Y51" s="1"/>
  <c r="V51"/>
  <c r="Z51" s="1"/>
  <c r="W51"/>
  <c r="AA51" s="1"/>
  <c r="X51"/>
  <c r="AB51" s="1"/>
  <c r="AF51" s="1"/>
  <c r="H51"/>
  <c r="I51" s="1"/>
  <c r="J51"/>
  <c r="K51" s="1"/>
  <c r="AP47"/>
  <c r="AE50"/>
  <c r="AK50" s="1"/>
  <c r="AD50"/>
  <c r="AC51"/>
  <c r="M51"/>
  <c r="AP49"/>
  <c r="AP46"/>
  <c r="AS46" s="1"/>
  <c r="AP48"/>
  <c r="AS48" s="1"/>
  <c r="AR49" l="1"/>
  <c r="AS49"/>
  <c r="AR47"/>
  <c r="AS47"/>
  <c r="AQ48"/>
  <c r="AR48"/>
  <c r="AQ46"/>
  <c r="AR46"/>
  <c r="AQ47"/>
  <c r="G104"/>
  <c r="G105" s="1"/>
  <c r="G106" s="1"/>
  <c r="G107" s="1"/>
  <c r="G108" s="1"/>
  <c r="G109" s="1"/>
  <c r="G110" s="1"/>
  <c r="G111" s="1"/>
  <c r="G112" s="1"/>
  <c r="G113" s="1"/>
  <c r="G114" s="1"/>
  <c r="G115" s="1"/>
  <c r="G116" s="1"/>
  <c r="G117" s="1"/>
  <c r="G118" s="1"/>
  <c r="G119" s="1"/>
  <c r="G120" s="1"/>
  <c r="G121" s="1"/>
  <c r="G122" s="1"/>
  <c r="G123" s="1"/>
  <c r="AH50"/>
  <c r="AL50" s="1"/>
  <c r="AP50" s="1"/>
  <c r="AJ50"/>
  <c r="AG51"/>
  <c r="AN51"/>
  <c r="C53"/>
  <c r="D53"/>
  <c r="E53"/>
  <c r="F53"/>
  <c r="G53"/>
  <c r="L53"/>
  <c r="N53"/>
  <c r="O53"/>
  <c r="P53"/>
  <c r="Q53"/>
  <c r="S53"/>
  <c r="T53"/>
  <c r="B54"/>
  <c r="U52"/>
  <c r="Y52" s="1"/>
  <c r="V52"/>
  <c r="Z52" s="1"/>
  <c r="W52"/>
  <c r="AA52" s="1"/>
  <c r="X52"/>
  <c r="AB52" s="1"/>
  <c r="AF52" s="1"/>
  <c r="H52"/>
  <c r="I52" s="1"/>
  <c r="J52"/>
  <c r="K52" s="1"/>
  <c r="AI50"/>
  <c r="AM50" s="1"/>
  <c r="AE51"/>
  <c r="AK51" s="1"/>
  <c r="AD51"/>
  <c r="AC52"/>
  <c r="M52"/>
  <c r="AR50" l="1"/>
  <c r="AS50"/>
  <c r="AQ49"/>
  <c r="AH51"/>
  <c r="AL51" s="1"/>
  <c r="AP51" s="1"/>
  <c r="AJ51"/>
  <c r="AG52"/>
  <c r="AN52"/>
  <c r="C54"/>
  <c r="D54"/>
  <c r="E54"/>
  <c r="F54"/>
  <c r="G54"/>
  <c r="L54"/>
  <c r="N54"/>
  <c r="O54"/>
  <c r="P54"/>
  <c r="Q54"/>
  <c r="S54"/>
  <c r="T54"/>
  <c r="B55"/>
  <c r="U53"/>
  <c r="Y53" s="1"/>
  <c r="V53"/>
  <c r="Z53" s="1"/>
  <c r="W53"/>
  <c r="AA53" s="1"/>
  <c r="X53"/>
  <c r="AB53" s="1"/>
  <c r="AF53" s="1"/>
  <c r="H53"/>
  <c r="I53" s="1"/>
  <c r="J53"/>
  <c r="K53" s="1"/>
  <c r="AI51"/>
  <c r="AM51" s="1"/>
  <c r="AE52"/>
  <c r="AK52" s="1"/>
  <c r="AD52"/>
  <c r="AC53"/>
  <c r="M53"/>
  <c r="AR51" l="1"/>
  <c r="AS51"/>
  <c r="AQ50"/>
  <c r="AH52"/>
  <c r="AL52" s="1"/>
  <c r="AP52" s="1"/>
  <c r="AJ52"/>
  <c r="AG53"/>
  <c r="AN53"/>
  <c r="C55"/>
  <c r="D55"/>
  <c r="E55"/>
  <c r="F55"/>
  <c r="G55"/>
  <c r="L55"/>
  <c r="N55"/>
  <c r="O55"/>
  <c r="P55"/>
  <c r="Q55"/>
  <c r="S55"/>
  <c r="T55"/>
  <c r="B56"/>
  <c r="U54"/>
  <c r="Y54" s="1"/>
  <c r="V54"/>
  <c r="Z54" s="1"/>
  <c r="W54"/>
  <c r="AA54" s="1"/>
  <c r="X54"/>
  <c r="AB54" s="1"/>
  <c r="AF54" s="1"/>
  <c r="H54"/>
  <c r="I54" s="1"/>
  <c r="J54"/>
  <c r="K54" s="1"/>
  <c r="AI52"/>
  <c r="AM52" s="1"/>
  <c r="AE53"/>
  <c r="AK53" s="1"/>
  <c r="AD53"/>
  <c r="AC54"/>
  <c r="M54"/>
  <c r="AR52" l="1"/>
  <c r="AS52"/>
  <c r="AQ51"/>
  <c r="AH53"/>
  <c r="AL53" s="1"/>
  <c r="AP53" s="1"/>
  <c r="AJ53"/>
  <c r="AG54"/>
  <c r="AN54"/>
  <c r="C56"/>
  <c r="D56"/>
  <c r="E56"/>
  <c r="F56"/>
  <c r="G56"/>
  <c r="L56"/>
  <c r="N56"/>
  <c r="O56"/>
  <c r="P56"/>
  <c r="Q56"/>
  <c r="S56"/>
  <c r="T56"/>
  <c r="B57"/>
  <c r="U55"/>
  <c r="Y55" s="1"/>
  <c r="V55"/>
  <c r="Z55" s="1"/>
  <c r="W55"/>
  <c r="AA55" s="1"/>
  <c r="X55"/>
  <c r="AB55" s="1"/>
  <c r="AF55" s="1"/>
  <c r="H55"/>
  <c r="I55" s="1"/>
  <c r="J55"/>
  <c r="K55" s="1"/>
  <c r="AI53"/>
  <c r="AM53" s="1"/>
  <c r="AE54"/>
  <c r="AK54" s="1"/>
  <c r="AD54"/>
  <c r="AC55"/>
  <c r="M55"/>
  <c r="AR53" l="1"/>
  <c r="AS53"/>
  <c r="AQ52"/>
  <c r="AH54"/>
  <c r="AL54" s="1"/>
  <c r="AP54" s="1"/>
  <c r="AJ54"/>
  <c r="AG55"/>
  <c r="AN55"/>
  <c r="C57"/>
  <c r="D57"/>
  <c r="E57"/>
  <c r="F57"/>
  <c r="G57"/>
  <c r="L57"/>
  <c r="N57"/>
  <c r="O57"/>
  <c r="P57"/>
  <c r="Q57"/>
  <c r="S57"/>
  <c r="T57"/>
  <c r="B58"/>
  <c r="U56"/>
  <c r="Y56" s="1"/>
  <c r="V56"/>
  <c r="Z56" s="1"/>
  <c r="W56"/>
  <c r="AA56" s="1"/>
  <c r="X56"/>
  <c r="AB56" s="1"/>
  <c r="AF56" s="1"/>
  <c r="H56"/>
  <c r="I56" s="1"/>
  <c r="J56"/>
  <c r="K56" s="1"/>
  <c r="AI54"/>
  <c r="AM54" s="1"/>
  <c r="AE55"/>
  <c r="AK55" s="1"/>
  <c r="AD55"/>
  <c r="AC56"/>
  <c r="M56"/>
  <c r="AR54" l="1"/>
  <c r="AS54"/>
  <c r="AQ53"/>
  <c r="AH55"/>
  <c r="AL55" s="1"/>
  <c r="AP55" s="1"/>
  <c r="AJ55"/>
  <c r="AG56"/>
  <c r="AN56"/>
  <c r="C58"/>
  <c r="D58"/>
  <c r="E58"/>
  <c r="F58"/>
  <c r="G58"/>
  <c r="L58"/>
  <c r="N58"/>
  <c r="O58"/>
  <c r="P58"/>
  <c r="Q58"/>
  <c r="S58"/>
  <c r="T58"/>
  <c r="B59"/>
  <c r="U57"/>
  <c r="Y57" s="1"/>
  <c r="V57"/>
  <c r="Z57" s="1"/>
  <c r="W57"/>
  <c r="AA57" s="1"/>
  <c r="X57"/>
  <c r="AB57" s="1"/>
  <c r="AF57" s="1"/>
  <c r="H57"/>
  <c r="I57" s="1"/>
  <c r="J57"/>
  <c r="K57" s="1"/>
  <c r="AI55"/>
  <c r="AM55" s="1"/>
  <c r="AE56"/>
  <c r="AK56" s="1"/>
  <c r="AD56"/>
  <c r="AC57"/>
  <c r="M57"/>
  <c r="AR55" l="1"/>
  <c r="AS55"/>
  <c r="AQ54"/>
  <c r="AH56"/>
  <c r="AL56" s="1"/>
  <c r="AP56" s="1"/>
  <c r="AJ56"/>
  <c r="AG57"/>
  <c r="AN57"/>
  <c r="C59"/>
  <c r="D59"/>
  <c r="E59"/>
  <c r="F59"/>
  <c r="G59"/>
  <c r="L59"/>
  <c r="N59"/>
  <c r="O59"/>
  <c r="P59"/>
  <c r="Q59"/>
  <c r="S59"/>
  <c r="T59"/>
  <c r="B60"/>
  <c r="U58"/>
  <c r="Y58" s="1"/>
  <c r="V58"/>
  <c r="Z58" s="1"/>
  <c r="W58"/>
  <c r="AA58" s="1"/>
  <c r="X58"/>
  <c r="AB58" s="1"/>
  <c r="AF58" s="1"/>
  <c r="H58"/>
  <c r="I58" s="1"/>
  <c r="J58"/>
  <c r="K58" s="1"/>
  <c r="AI56"/>
  <c r="AM56" s="1"/>
  <c r="AE57"/>
  <c r="AK57" s="1"/>
  <c r="AD57"/>
  <c r="AC58"/>
  <c r="M58"/>
  <c r="AR56" l="1"/>
  <c r="AS56"/>
  <c r="AQ55"/>
  <c r="AH57"/>
  <c r="AL57" s="1"/>
  <c r="AP57" s="1"/>
  <c r="AJ57"/>
  <c r="AG58"/>
  <c r="AN58"/>
  <c r="C60"/>
  <c r="D60"/>
  <c r="E60"/>
  <c r="F60"/>
  <c r="G60"/>
  <c r="L60"/>
  <c r="N60"/>
  <c r="O60"/>
  <c r="P60"/>
  <c r="Q60"/>
  <c r="S60"/>
  <c r="T60"/>
  <c r="B61"/>
  <c r="U59"/>
  <c r="Y59" s="1"/>
  <c r="V59"/>
  <c r="Z59" s="1"/>
  <c r="W59"/>
  <c r="AA59" s="1"/>
  <c r="X59"/>
  <c r="AB59" s="1"/>
  <c r="AF59" s="1"/>
  <c r="H59"/>
  <c r="J59"/>
  <c r="K59" s="1"/>
  <c r="AI57"/>
  <c r="AM57" s="1"/>
  <c r="AE58"/>
  <c r="AK58" s="1"/>
  <c r="AD58"/>
  <c r="AC59"/>
  <c r="M59"/>
  <c r="AR57" l="1"/>
  <c r="AS57"/>
  <c r="AQ56"/>
  <c r="I59"/>
  <c r="AH58"/>
  <c r="AL58" s="1"/>
  <c r="AP58" s="1"/>
  <c r="AJ58"/>
  <c r="AG59"/>
  <c r="AN59"/>
  <c r="C61"/>
  <c r="D61"/>
  <c r="E61"/>
  <c r="F61"/>
  <c r="G61"/>
  <c r="L61"/>
  <c r="N61"/>
  <c r="O61"/>
  <c r="P61"/>
  <c r="Q61"/>
  <c r="S61"/>
  <c r="T61"/>
  <c r="B62"/>
  <c r="U60"/>
  <c r="Y60" s="1"/>
  <c r="V60"/>
  <c r="Z60" s="1"/>
  <c r="W60"/>
  <c r="AA60" s="1"/>
  <c r="X60"/>
  <c r="AB60" s="1"/>
  <c r="AF60" s="1"/>
  <c r="H60"/>
  <c r="I60" s="1"/>
  <c r="J60"/>
  <c r="K60" s="1"/>
  <c r="AI58"/>
  <c r="AM58" s="1"/>
  <c r="AE59"/>
  <c r="AK59" s="1"/>
  <c r="AD59"/>
  <c r="AC60"/>
  <c r="M60"/>
  <c r="AR58" l="1"/>
  <c r="AS58"/>
  <c r="AQ57"/>
  <c r="AH59"/>
  <c r="AL59" s="1"/>
  <c r="AP59" s="1"/>
  <c r="AJ59"/>
  <c r="AG60"/>
  <c r="AN60"/>
  <c r="C62"/>
  <c r="D62"/>
  <c r="E62"/>
  <c r="F62"/>
  <c r="G62"/>
  <c r="L62"/>
  <c r="N62"/>
  <c r="O62"/>
  <c r="P62"/>
  <c r="Q62"/>
  <c r="S62"/>
  <c r="T62"/>
  <c r="B63"/>
  <c r="U61"/>
  <c r="Y61" s="1"/>
  <c r="V61"/>
  <c r="Z61" s="1"/>
  <c r="W61"/>
  <c r="AA61" s="1"/>
  <c r="X61"/>
  <c r="AB61" s="1"/>
  <c r="AF61" s="1"/>
  <c r="H61"/>
  <c r="I61" s="1"/>
  <c r="J61"/>
  <c r="K61" s="1"/>
  <c r="AI59"/>
  <c r="AM59" s="1"/>
  <c r="AE60"/>
  <c r="AK60" s="1"/>
  <c r="AD60"/>
  <c r="AC61"/>
  <c r="M61"/>
  <c r="AR59" l="1"/>
  <c r="AS59"/>
  <c r="AQ58"/>
  <c r="AH60"/>
  <c r="AL60" s="1"/>
  <c r="AP60" s="1"/>
  <c r="AJ60"/>
  <c r="AG61"/>
  <c r="AN61"/>
  <c r="C63"/>
  <c r="D63"/>
  <c r="E63"/>
  <c r="F63"/>
  <c r="G63"/>
  <c r="L63"/>
  <c r="N63"/>
  <c r="O63"/>
  <c r="P63"/>
  <c r="Q63"/>
  <c r="S63"/>
  <c r="T63"/>
  <c r="B64"/>
  <c r="U62"/>
  <c r="Y62" s="1"/>
  <c r="V62"/>
  <c r="Z62" s="1"/>
  <c r="W62"/>
  <c r="AA62" s="1"/>
  <c r="X62"/>
  <c r="AB62" s="1"/>
  <c r="AF62" s="1"/>
  <c r="H62"/>
  <c r="I62" s="1"/>
  <c r="J62"/>
  <c r="K62" s="1"/>
  <c r="AI60"/>
  <c r="AM60" s="1"/>
  <c r="AE61"/>
  <c r="AK61" s="1"/>
  <c r="AD61"/>
  <c r="AC62"/>
  <c r="M62"/>
  <c r="AR60" l="1"/>
  <c r="AS60"/>
  <c r="AQ59"/>
  <c r="AH61"/>
  <c r="AL61" s="1"/>
  <c r="AP61" s="1"/>
  <c r="AJ61"/>
  <c r="AG62"/>
  <c r="AN62"/>
  <c r="C64"/>
  <c r="D64"/>
  <c r="E64"/>
  <c r="F64"/>
  <c r="G64"/>
  <c r="L64"/>
  <c r="N64"/>
  <c r="O64"/>
  <c r="P64"/>
  <c r="Q64"/>
  <c r="S64"/>
  <c r="T64"/>
  <c r="B65"/>
  <c r="U63"/>
  <c r="Y63" s="1"/>
  <c r="V63"/>
  <c r="Z63" s="1"/>
  <c r="W63"/>
  <c r="AA63" s="1"/>
  <c r="X63"/>
  <c r="AB63" s="1"/>
  <c r="AF63" s="1"/>
  <c r="H63"/>
  <c r="I63" s="1"/>
  <c r="J63"/>
  <c r="K63" s="1"/>
  <c r="AI61"/>
  <c r="AM61" s="1"/>
  <c r="AE62"/>
  <c r="AK62" s="1"/>
  <c r="AD62"/>
  <c r="AC63"/>
  <c r="M63"/>
  <c r="AR61" l="1"/>
  <c r="AS61"/>
  <c r="AQ60"/>
  <c r="AH62"/>
  <c r="AL62" s="1"/>
  <c r="AP62" s="1"/>
  <c r="AJ62"/>
  <c r="AG63"/>
  <c r="AN63"/>
  <c r="C65"/>
  <c r="D65"/>
  <c r="E65"/>
  <c r="F65"/>
  <c r="G65"/>
  <c r="L65"/>
  <c r="N65"/>
  <c r="O65"/>
  <c r="P65"/>
  <c r="Q65"/>
  <c r="S65"/>
  <c r="T65"/>
  <c r="B66"/>
  <c r="U64"/>
  <c r="Y64" s="1"/>
  <c r="V64"/>
  <c r="Z64" s="1"/>
  <c r="W64"/>
  <c r="AA64" s="1"/>
  <c r="X64"/>
  <c r="AB64" s="1"/>
  <c r="AF64" s="1"/>
  <c r="H64"/>
  <c r="I64" s="1"/>
  <c r="J64"/>
  <c r="K64" s="1"/>
  <c r="AI62"/>
  <c r="AM62" s="1"/>
  <c r="AE63"/>
  <c r="AK63" s="1"/>
  <c r="AD63"/>
  <c r="AC64"/>
  <c r="M64"/>
  <c r="AR62" l="1"/>
  <c r="AS62"/>
  <c r="AQ61"/>
  <c r="AH63"/>
  <c r="AL63" s="1"/>
  <c r="AP63" s="1"/>
  <c r="AJ63"/>
  <c r="AG64"/>
  <c r="AN64"/>
  <c r="C66"/>
  <c r="D66"/>
  <c r="E66"/>
  <c r="F66"/>
  <c r="G66"/>
  <c r="L66"/>
  <c r="N66"/>
  <c r="O66"/>
  <c r="P66"/>
  <c r="Q66"/>
  <c r="S66"/>
  <c r="T66"/>
  <c r="B67"/>
  <c r="U65"/>
  <c r="Y65" s="1"/>
  <c r="V65"/>
  <c r="Z65" s="1"/>
  <c r="W65"/>
  <c r="AA65" s="1"/>
  <c r="X65"/>
  <c r="AB65" s="1"/>
  <c r="AF65" s="1"/>
  <c r="H65"/>
  <c r="I65" s="1"/>
  <c r="J65"/>
  <c r="K65" s="1"/>
  <c r="AI63"/>
  <c r="AM63" s="1"/>
  <c r="AE64"/>
  <c r="AK64" s="1"/>
  <c r="AD64"/>
  <c r="AC65"/>
  <c r="M65"/>
  <c r="AR63" l="1"/>
  <c r="AS63"/>
  <c r="AQ62"/>
  <c r="AH64"/>
  <c r="AL64" s="1"/>
  <c r="AP64" s="1"/>
  <c r="AJ64"/>
  <c r="AG65"/>
  <c r="AN65"/>
  <c r="C67"/>
  <c r="D67"/>
  <c r="E67"/>
  <c r="F67"/>
  <c r="G67"/>
  <c r="L67"/>
  <c r="N67"/>
  <c r="O67"/>
  <c r="P67"/>
  <c r="Q67"/>
  <c r="S67"/>
  <c r="T67"/>
  <c r="B68"/>
  <c r="U66"/>
  <c r="Y66" s="1"/>
  <c r="V66"/>
  <c r="Z66" s="1"/>
  <c r="W66"/>
  <c r="AA66" s="1"/>
  <c r="X66"/>
  <c r="AB66" s="1"/>
  <c r="AF66" s="1"/>
  <c r="H66"/>
  <c r="I66" s="1"/>
  <c r="J66"/>
  <c r="K66" s="1"/>
  <c r="AI64"/>
  <c r="AM64" s="1"/>
  <c r="AE65"/>
  <c r="AK65" s="1"/>
  <c r="AD65"/>
  <c r="AC66"/>
  <c r="M66"/>
  <c r="AR64" l="1"/>
  <c r="AS64"/>
  <c r="AQ63"/>
  <c r="AH65"/>
  <c r="AL65" s="1"/>
  <c r="AP65" s="1"/>
  <c r="AJ65"/>
  <c r="AG66"/>
  <c r="AN66"/>
  <c r="C68"/>
  <c r="D68"/>
  <c r="E68"/>
  <c r="F68"/>
  <c r="G68"/>
  <c r="L68"/>
  <c r="N68"/>
  <c r="O68"/>
  <c r="P68"/>
  <c r="Q68"/>
  <c r="S68"/>
  <c r="T68"/>
  <c r="B69"/>
  <c r="U67"/>
  <c r="Y67" s="1"/>
  <c r="V67"/>
  <c r="Z67" s="1"/>
  <c r="W67"/>
  <c r="AA67" s="1"/>
  <c r="X67"/>
  <c r="AB67" s="1"/>
  <c r="AF67" s="1"/>
  <c r="H67"/>
  <c r="I67" s="1"/>
  <c r="J67"/>
  <c r="K67" s="1"/>
  <c r="AI65"/>
  <c r="AM65" s="1"/>
  <c r="AE66"/>
  <c r="AK66" s="1"/>
  <c r="AD66"/>
  <c r="AC67"/>
  <c r="M67"/>
  <c r="AR65" l="1"/>
  <c r="AS65"/>
  <c r="AQ64"/>
  <c r="AH66"/>
  <c r="AL66" s="1"/>
  <c r="AP66" s="1"/>
  <c r="AJ66"/>
  <c r="AG67"/>
  <c r="AN67"/>
  <c r="C69"/>
  <c r="D69"/>
  <c r="E69"/>
  <c r="F69"/>
  <c r="G69"/>
  <c r="L69"/>
  <c r="N69"/>
  <c r="O69"/>
  <c r="P69"/>
  <c r="Q69"/>
  <c r="S69"/>
  <c r="T69"/>
  <c r="B70"/>
  <c r="U68"/>
  <c r="Y68" s="1"/>
  <c r="V68"/>
  <c r="Z68" s="1"/>
  <c r="W68"/>
  <c r="AA68" s="1"/>
  <c r="X68"/>
  <c r="AB68" s="1"/>
  <c r="AF68" s="1"/>
  <c r="H68"/>
  <c r="I68" s="1"/>
  <c r="J68"/>
  <c r="K68" s="1"/>
  <c r="AI66"/>
  <c r="AM66" s="1"/>
  <c r="AE67"/>
  <c r="AK67" s="1"/>
  <c r="AD67"/>
  <c r="AC68"/>
  <c r="M68"/>
  <c r="AR66" l="1"/>
  <c r="AS66"/>
  <c r="AQ65"/>
  <c r="AH67"/>
  <c r="AL67" s="1"/>
  <c r="AP67" s="1"/>
  <c r="AJ67"/>
  <c r="AG68"/>
  <c r="AN68"/>
  <c r="C70"/>
  <c r="D70"/>
  <c r="E70"/>
  <c r="F70"/>
  <c r="G70"/>
  <c r="L70"/>
  <c r="N70"/>
  <c r="O70"/>
  <c r="P70"/>
  <c r="Q70"/>
  <c r="S70"/>
  <c r="T70"/>
  <c r="B71"/>
  <c r="U69"/>
  <c r="Y69" s="1"/>
  <c r="V69"/>
  <c r="Z69" s="1"/>
  <c r="W69"/>
  <c r="AA69" s="1"/>
  <c r="X69"/>
  <c r="AB69" s="1"/>
  <c r="AF69" s="1"/>
  <c r="H69"/>
  <c r="I69" s="1"/>
  <c r="J69"/>
  <c r="K69" s="1"/>
  <c r="AI67"/>
  <c r="AM67" s="1"/>
  <c r="AE68"/>
  <c r="AK68" s="1"/>
  <c r="AD68"/>
  <c r="AC69"/>
  <c r="M69"/>
  <c r="AR67" l="1"/>
  <c r="AS67"/>
  <c r="AQ66"/>
  <c r="AH68"/>
  <c r="AL68" s="1"/>
  <c r="AP68" s="1"/>
  <c r="AJ68"/>
  <c r="AG69"/>
  <c r="AN69"/>
  <c r="C71"/>
  <c r="D71"/>
  <c r="E71"/>
  <c r="F71"/>
  <c r="G71"/>
  <c r="L71"/>
  <c r="N71"/>
  <c r="O71"/>
  <c r="P71"/>
  <c r="Q71"/>
  <c r="S71"/>
  <c r="T71"/>
  <c r="B72"/>
  <c r="B73" s="1"/>
  <c r="U70"/>
  <c r="Y70" s="1"/>
  <c r="V70"/>
  <c r="Z70" s="1"/>
  <c r="W70"/>
  <c r="AA70" s="1"/>
  <c r="X70"/>
  <c r="AB70" s="1"/>
  <c r="AF70" s="1"/>
  <c r="H70"/>
  <c r="I70" s="1"/>
  <c r="J70"/>
  <c r="K70" s="1"/>
  <c r="AI68"/>
  <c r="AM68" s="1"/>
  <c r="AE69"/>
  <c r="AK69" s="1"/>
  <c r="AD69"/>
  <c r="AC70"/>
  <c r="M70"/>
  <c r="AR68" l="1"/>
  <c r="AS68"/>
  <c r="AQ67"/>
  <c r="C73"/>
  <c r="D73"/>
  <c r="E73"/>
  <c r="F73"/>
  <c r="G73"/>
  <c r="L73"/>
  <c r="N73"/>
  <c r="O73"/>
  <c r="P73"/>
  <c r="Q73"/>
  <c r="S73"/>
  <c r="T73"/>
  <c r="AH69"/>
  <c r="AL69" s="1"/>
  <c r="AP69" s="1"/>
  <c r="AJ69"/>
  <c r="AG70"/>
  <c r="AN70"/>
  <c r="C72"/>
  <c r="D72"/>
  <c r="E72"/>
  <c r="F72"/>
  <c r="G72"/>
  <c r="L72"/>
  <c r="N72"/>
  <c r="O72"/>
  <c r="P72"/>
  <c r="Q72"/>
  <c r="S72"/>
  <c r="T72"/>
  <c r="U71"/>
  <c r="Y71" s="1"/>
  <c r="V71"/>
  <c r="Z71" s="1"/>
  <c r="W71"/>
  <c r="AA71" s="1"/>
  <c r="X71"/>
  <c r="AB71" s="1"/>
  <c r="AF71" s="1"/>
  <c r="H71"/>
  <c r="I71" s="1"/>
  <c r="J71"/>
  <c r="K71" s="1"/>
  <c r="AI69"/>
  <c r="AM69" s="1"/>
  <c r="AE70"/>
  <c r="AK70" s="1"/>
  <c r="AD70"/>
  <c r="AC71"/>
  <c r="M71"/>
  <c r="AR69" l="1"/>
  <c r="AS69"/>
  <c r="AQ68"/>
  <c r="U73"/>
  <c r="Y73" s="1"/>
  <c r="V73"/>
  <c r="Z73" s="1"/>
  <c r="W73"/>
  <c r="AA73" s="1"/>
  <c r="X73"/>
  <c r="AB73" s="1"/>
  <c r="AF73" s="1"/>
  <c r="H73"/>
  <c r="I73" s="1"/>
  <c r="J73"/>
  <c r="K73" s="1"/>
  <c r="AC73"/>
  <c r="M73"/>
  <c r="AH70"/>
  <c r="AL70" s="1"/>
  <c r="AP70" s="1"/>
  <c r="AJ70"/>
  <c r="AG71"/>
  <c r="AN71"/>
  <c r="U72"/>
  <c r="Y72" s="1"/>
  <c r="V72"/>
  <c r="Z72" s="1"/>
  <c r="W72"/>
  <c r="AA72" s="1"/>
  <c r="X72"/>
  <c r="AB72" s="1"/>
  <c r="AF72" s="1"/>
  <c r="H72"/>
  <c r="I72" s="1"/>
  <c r="J72"/>
  <c r="K72" s="1"/>
  <c r="AI70"/>
  <c r="AM70" s="1"/>
  <c r="AE71"/>
  <c r="AK71" s="1"/>
  <c r="AD71"/>
  <c r="AC72"/>
  <c r="M72"/>
  <c r="AR70" l="1"/>
  <c r="AS70"/>
  <c r="AQ69"/>
  <c r="AG73"/>
  <c r="AN73"/>
  <c r="AE73"/>
  <c r="AK73" s="1"/>
  <c r="AD73"/>
  <c r="AH71"/>
  <c r="AL71" s="1"/>
  <c r="AP71" s="1"/>
  <c r="AJ71"/>
  <c r="AG72"/>
  <c r="AN72"/>
  <c r="AI71"/>
  <c r="AM71" s="1"/>
  <c r="AE72"/>
  <c r="AK72" s="1"/>
  <c r="AD72"/>
  <c r="AR71" l="1"/>
  <c r="AS71"/>
  <c r="AQ70"/>
  <c r="AH73"/>
  <c r="AL73" s="1"/>
  <c r="AP73" s="1"/>
  <c r="AJ73"/>
  <c r="AI73"/>
  <c r="AM73" s="1"/>
  <c r="AH72"/>
  <c r="AL72" s="1"/>
  <c r="AP72" s="1"/>
  <c r="AS72" s="1"/>
  <c r="AS73" s="1"/>
  <c r="AJ72"/>
  <c r="AI72"/>
  <c r="AM72" s="1"/>
  <c r="AQ72" l="1"/>
  <c r="AR72"/>
  <c r="AR73" s="1"/>
  <c r="AQ71"/>
  <c r="AQ73" s="1"/>
  <c r="G80" l="1"/>
  <c r="A76"/>
  <c r="A77"/>
  <c r="BM77" s="1"/>
  <c r="B76"/>
  <c r="AL76" s="1"/>
  <c r="BM76" l="1"/>
  <c r="BC76"/>
  <c r="BB76"/>
  <c r="BA76"/>
  <c r="AZ76"/>
  <c r="AY76"/>
  <c r="AX76"/>
  <c r="AW76"/>
  <c r="AV76"/>
  <c r="AQ76"/>
  <c r="AP76"/>
  <c r="AO76"/>
  <c r="AN76"/>
  <c r="AM76"/>
  <c r="B77"/>
  <c r="AL77" s="1"/>
  <c r="C76"/>
  <c r="D76"/>
  <c r="E76"/>
  <c r="F76"/>
  <c r="G76"/>
  <c r="L76"/>
  <c r="N76"/>
  <c r="O76"/>
  <c r="P76"/>
  <c r="Q76"/>
  <c r="S76"/>
  <c r="T76"/>
  <c r="C77"/>
  <c r="D77"/>
  <c r="E77"/>
  <c r="F77"/>
  <c r="G77"/>
  <c r="L77"/>
  <c r="N77"/>
  <c r="O77"/>
  <c r="P77"/>
  <c r="Q77"/>
  <c r="S77"/>
  <c r="T77"/>
  <c r="AM77" l="1"/>
  <c r="AN77"/>
  <c r="AO77"/>
  <c r="AP77"/>
  <c r="AQ77"/>
  <c r="AV77"/>
  <c r="AW77"/>
  <c r="AX77"/>
  <c r="AY77"/>
  <c r="AZ77"/>
  <c r="BA77"/>
  <c r="BB77"/>
  <c r="BC77"/>
  <c r="AT76"/>
  <c r="AU76" s="1"/>
  <c r="BF76" s="1"/>
  <c r="AR76"/>
  <c r="AS76" s="1"/>
  <c r="BI76"/>
  <c r="BL76" s="1"/>
  <c r="BD76"/>
  <c r="BG76" s="1"/>
  <c r="BE76"/>
  <c r="BH76" s="1"/>
  <c r="X77"/>
  <c r="AB77" s="1"/>
  <c r="AF77" s="1"/>
  <c r="W77"/>
  <c r="AA77" s="1"/>
  <c r="V77"/>
  <c r="Z77" s="1"/>
  <c r="U77"/>
  <c r="Y77" s="1"/>
  <c r="J77"/>
  <c r="K77" s="1"/>
  <c r="H77"/>
  <c r="I77" s="1"/>
  <c r="X76"/>
  <c r="AB76" s="1"/>
  <c r="AF76" s="1"/>
  <c r="J80" s="1"/>
  <c r="W76"/>
  <c r="AA76" s="1"/>
  <c r="V76"/>
  <c r="Z76" s="1"/>
  <c r="U76"/>
  <c r="Y76" s="1"/>
  <c r="J76"/>
  <c r="K76" s="1"/>
  <c r="H76"/>
  <c r="I76" s="1"/>
  <c r="AC77"/>
  <c r="M77"/>
  <c r="AC76"/>
  <c r="M76"/>
  <c r="BK76" l="1"/>
  <c r="BJ76"/>
  <c r="BD77"/>
  <c r="BI77"/>
  <c r="BL77" s="1"/>
  <c r="AR77"/>
  <c r="AS77" s="1"/>
  <c r="AT77"/>
  <c r="AU77" s="1"/>
  <c r="BF77" s="1"/>
  <c r="M80"/>
  <c r="BG77"/>
  <c r="BE77"/>
  <c r="BH77" s="1"/>
  <c r="BK77" s="1"/>
  <c r="BJ77" s="1"/>
  <c r="AG76"/>
  <c r="AG77"/>
  <c r="AD76"/>
  <c r="AE76"/>
  <c r="AK76" s="1"/>
  <c r="AD77"/>
  <c r="AE77"/>
  <c r="AK77" s="1"/>
  <c r="AJ77" l="1"/>
  <c r="AH77"/>
  <c r="K80" s="1"/>
  <c r="AJ76"/>
  <c r="AH76"/>
  <c r="H80" s="1"/>
  <c r="AI77"/>
  <c r="L80" s="1"/>
  <c r="AI76"/>
  <c r="I80" s="1"/>
  <c r="Q80" l="1"/>
  <c r="P80"/>
  <c r="O80"/>
  <c r="N80"/>
  <c r="E83" l="1"/>
  <c r="F83"/>
  <c r="F84" s="1"/>
  <c r="F85" s="1"/>
  <c r="F86" s="1"/>
  <c r="F87" s="1"/>
  <c r="F88" s="1"/>
  <c r="F89" s="1"/>
  <c r="F90" s="1"/>
  <c r="F91" s="1"/>
  <c r="F92" s="1"/>
  <c r="F93" s="1"/>
  <c r="F94" s="1"/>
  <c r="F95" s="1"/>
  <c r="F96" s="1"/>
  <c r="F97" s="1"/>
  <c r="F98" s="1"/>
  <c r="F99" s="1"/>
  <c r="F100" s="1"/>
  <c r="F101" s="1"/>
  <c r="F102" l="1"/>
  <c r="E84"/>
  <c r="L83"/>
  <c r="D83"/>
  <c r="R80"/>
  <c r="F104" l="1"/>
  <c r="F105" s="1"/>
  <c r="F106" s="1"/>
  <c r="F107" s="1"/>
  <c r="F108" s="1"/>
  <c r="F109" s="1"/>
  <c r="F110" s="1"/>
  <c r="F111" s="1"/>
  <c r="F112" s="1"/>
  <c r="F113" s="1"/>
  <c r="F114" s="1"/>
  <c r="F115" s="1"/>
  <c r="F116" s="1"/>
  <c r="F117" s="1"/>
  <c r="F118" s="1"/>
  <c r="F119" s="1"/>
  <c r="F120" s="1"/>
  <c r="F121" s="1"/>
  <c r="F122" s="1"/>
  <c r="F123" s="1"/>
  <c r="S80"/>
  <c r="C83" s="1"/>
  <c r="T80"/>
  <c r="C84"/>
  <c r="N83"/>
  <c r="D84"/>
  <c r="M83"/>
  <c r="E85"/>
  <c r="E86" l="1"/>
  <c r="D85"/>
  <c r="Q83"/>
  <c r="U83" s="1"/>
  <c r="P83"/>
  <c r="O83"/>
  <c r="R83" s="1"/>
  <c r="C85"/>
  <c r="V83"/>
  <c r="C86" l="1"/>
  <c r="S83"/>
  <c r="W83" s="1"/>
  <c r="T83"/>
  <c r="D86"/>
  <c r="E87"/>
  <c r="E88" l="1"/>
  <c r="D87"/>
  <c r="X83"/>
  <c r="K84" s="1"/>
  <c r="Y83"/>
  <c r="C87"/>
  <c r="A18" l="1"/>
  <c r="C88"/>
  <c r="L84"/>
  <c r="M84"/>
  <c r="N84"/>
  <c r="D88"/>
  <c r="E89"/>
  <c r="E90" l="1"/>
  <c r="D89"/>
  <c r="Q84"/>
  <c r="U84" s="1"/>
  <c r="P84"/>
  <c r="S84" s="1"/>
  <c r="W84" s="1"/>
  <c r="O84"/>
  <c r="R84" s="1"/>
  <c r="C89"/>
  <c r="V84"/>
  <c r="T84"/>
  <c r="X84" s="1"/>
  <c r="K85" s="1"/>
  <c r="L85" l="1"/>
  <c r="N85"/>
  <c r="M85"/>
  <c r="C90"/>
  <c r="D90"/>
  <c r="E91"/>
  <c r="E92" l="1"/>
  <c r="D91"/>
  <c r="C91"/>
  <c r="Q85"/>
  <c r="U85" s="1"/>
  <c r="P85"/>
  <c r="S85" s="1"/>
  <c r="W85" s="1"/>
  <c r="O85"/>
  <c r="R85" s="1"/>
  <c r="V85"/>
  <c r="T85"/>
  <c r="X85" s="1"/>
  <c r="K86" s="1"/>
  <c r="L86" l="1"/>
  <c r="M86"/>
  <c r="N86"/>
  <c r="C92"/>
  <c r="D92"/>
  <c r="E93"/>
  <c r="E94" l="1"/>
  <c r="D93"/>
  <c r="C93"/>
  <c r="Q86"/>
  <c r="U86" s="1"/>
  <c r="P86"/>
  <c r="S86" s="1"/>
  <c r="W86" s="1"/>
  <c r="O86"/>
  <c r="R86" s="1"/>
  <c r="V86"/>
  <c r="T86"/>
  <c r="X86" s="1"/>
  <c r="K87" l="1"/>
  <c r="L87"/>
  <c r="N87"/>
  <c r="M87"/>
  <c r="C94"/>
  <c r="D94"/>
  <c r="E95"/>
  <c r="E96" l="1"/>
  <c r="D95"/>
  <c r="C95"/>
  <c r="Q87"/>
  <c r="U87" s="1"/>
  <c r="P87"/>
  <c r="S87" s="1"/>
  <c r="W87" s="1"/>
  <c r="O87"/>
  <c r="R87" s="1"/>
  <c r="V87"/>
  <c r="T87"/>
  <c r="X87" s="1"/>
  <c r="K88" s="1"/>
  <c r="L88" l="1"/>
  <c r="M88"/>
  <c r="N88"/>
  <c r="C96"/>
  <c r="D96"/>
  <c r="E97"/>
  <c r="E98" l="1"/>
  <c r="D97"/>
  <c r="C97"/>
  <c r="Q88"/>
  <c r="U88" s="1"/>
  <c r="P88"/>
  <c r="S88" s="1"/>
  <c r="W88" s="1"/>
  <c r="O88"/>
  <c r="R88" s="1"/>
  <c r="V88"/>
  <c r="T88"/>
  <c r="X88" s="1"/>
  <c r="K89" s="1"/>
  <c r="L89" l="1"/>
  <c r="N89"/>
  <c r="M89"/>
  <c r="C98"/>
  <c r="D98"/>
  <c r="E99"/>
  <c r="E100" l="1"/>
  <c r="D99"/>
  <c r="C99"/>
  <c r="Q89"/>
  <c r="U89" s="1"/>
  <c r="P89"/>
  <c r="S89" s="1"/>
  <c r="W89" s="1"/>
  <c r="O89"/>
  <c r="R89" s="1"/>
  <c r="V89"/>
  <c r="T89"/>
  <c r="X89" s="1"/>
  <c r="K90" s="1"/>
  <c r="L90" l="1"/>
  <c r="M90"/>
  <c r="N90"/>
  <c r="C100"/>
  <c r="D100"/>
  <c r="E101"/>
  <c r="E102" s="1"/>
  <c r="E104" l="1"/>
  <c r="D101"/>
  <c r="D102" s="1"/>
  <c r="C101"/>
  <c r="C102" s="1"/>
  <c r="Q90"/>
  <c r="U90" s="1"/>
  <c r="P90"/>
  <c r="S90" s="1"/>
  <c r="W90" s="1"/>
  <c r="O90"/>
  <c r="R90" s="1"/>
  <c r="V90"/>
  <c r="T90"/>
  <c r="X90" s="1"/>
  <c r="K91" s="1"/>
  <c r="L91" l="1"/>
  <c r="N91"/>
  <c r="M91"/>
  <c r="E105"/>
  <c r="L104"/>
  <c r="E106" l="1"/>
  <c r="D104"/>
  <c r="C104"/>
  <c r="Q91"/>
  <c r="U91" s="1"/>
  <c r="P91"/>
  <c r="S91" s="1"/>
  <c r="W91" s="1"/>
  <c r="O91"/>
  <c r="R91" s="1"/>
  <c r="V91"/>
  <c r="T91"/>
  <c r="X91" s="1"/>
  <c r="K92" s="1"/>
  <c r="L92" l="1"/>
  <c r="M92"/>
  <c r="N92"/>
  <c r="C105"/>
  <c r="N104"/>
  <c r="D105"/>
  <c r="M104"/>
  <c r="E107"/>
  <c r="E108" l="1"/>
  <c r="D106"/>
  <c r="Q104"/>
  <c r="U104" s="1"/>
  <c r="P104"/>
  <c r="O104"/>
  <c r="R104" s="1"/>
  <c r="C106"/>
  <c r="Q92"/>
  <c r="U92" s="1"/>
  <c r="P92"/>
  <c r="S92" s="1"/>
  <c r="W92" s="1"/>
  <c r="O92"/>
  <c r="R92" s="1"/>
  <c r="V104"/>
  <c r="V92"/>
  <c r="T92"/>
  <c r="X92" s="1"/>
  <c r="K93" s="1"/>
  <c r="L93" l="1"/>
  <c r="N93"/>
  <c r="M93"/>
  <c r="C107"/>
  <c r="S104"/>
  <c r="W104" s="1"/>
  <c r="T104"/>
  <c r="X104" s="1"/>
  <c r="K105" s="1"/>
  <c r="D107"/>
  <c r="E109"/>
  <c r="E110" l="1"/>
  <c r="D108"/>
  <c r="L105"/>
  <c r="M105"/>
  <c r="N105"/>
  <c r="C108"/>
  <c r="Q93"/>
  <c r="U93" s="1"/>
  <c r="P93"/>
  <c r="S93" s="1"/>
  <c r="W93" s="1"/>
  <c r="O93"/>
  <c r="R93" s="1"/>
  <c r="V93"/>
  <c r="T93"/>
  <c r="X93" s="1"/>
  <c r="K94" s="1"/>
  <c r="L94" l="1"/>
  <c r="M94"/>
  <c r="N94"/>
  <c r="C109"/>
  <c r="Q105"/>
  <c r="U105" s="1"/>
  <c r="P105"/>
  <c r="S105" s="1"/>
  <c r="W105" s="1"/>
  <c r="O105"/>
  <c r="R105" s="1"/>
  <c r="D109"/>
  <c r="E111"/>
  <c r="V105"/>
  <c r="T105"/>
  <c r="X105" s="1"/>
  <c r="K106" s="1"/>
  <c r="L106" l="1"/>
  <c r="N106"/>
  <c r="M106"/>
  <c r="E112"/>
  <c r="D110"/>
  <c r="C110"/>
  <c r="Q94"/>
  <c r="U94" s="1"/>
  <c r="P94"/>
  <c r="S94" s="1"/>
  <c r="W94" s="1"/>
  <c r="O94"/>
  <c r="R94" s="1"/>
  <c r="V94"/>
  <c r="T94"/>
  <c r="X94" s="1"/>
  <c r="K95" s="1"/>
  <c r="L95" l="1"/>
  <c r="N95"/>
  <c r="M95"/>
  <c r="C111"/>
  <c r="D111"/>
  <c r="E113"/>
  <c r="Q106"/>
  <c r="U106" s="1"/>
  <c r="P106"/>
  <c r="S106" s="1"/>
  <c r="W106" s="1"/>
  <c r="O106"/>
  <c r="R106" s="1"/>
  <c r="V106"/>
  <c r="T106"/>
  <c r="X106" s="1"/>
  <c r="K107" s="1"/>
  <c r="L107" l="1"/>
  <c r="M107"/>
  <c r="N107"/>
  <c r="E114"/>
  <c r="D112"/>
  <c r="C112"/>
  <c r="Q95"/>
  <c r="U95" s="1"/>
  <c r="P95"/>
  <c r="S95" s="1"/>
  <c r="W95" s="1"/>
  <c r="O95"/>
  <c r="R95" s="1"/>
  <c r="V95"/>
  <c r="T95"/>
  <c r="X95" s="1"/>
  <c r="K96" s="1"/>
  <c r="L96" l="1"/>
  <c r="M96"/>
  <c r="N96"/>
  <c r="C113"/>
  <c r="D113"/>
  <c r="E115"/>
  <c r="Q107"/>
  <c r="U107" s="1"/>
  <c r="P107"/>
  <c r="S107" s="1"/>
  <c r="W107" s="1"/>
  <c r="O107"/>
  <c r="R107" s="1"/>
  <c r="V107"/>
  <c r="T107"/>
  <c r="X107" s="1"/>
  <c r="K108" s="1"/>
  <c r="L108" l="1"/>
  <c r="N108"/>
  <c r="M108"/>
  <c r="E116"/>
  <c r="D114"/>
  <c r="C114"/>
  <c r="Q96"/>
  <c r="U96" s="1"/>
  <c r="P96"/>
  <c r="S96" s="1"/>
  <c r="W96" s="1"/>
  <c r="O96"/>
  <c r="R96" s="1"/>
  <c r="V96"/>
  <c r="T96"/>
  <c r="X96" s="1"/>
  <c r="K97" s="1"/>
  <c r="L97" l="1"/>
  <c r="N97"/>
  <c r="M97"/>
  <c r="C115"/>
  <c r="D115"/>
  <c r="E117"/>
  <c r="E118" s="1"/>
  <c r="E119" s="1"/>
  <c r="E120" s="1"/>
  <c r="E121" s="1"/>
  <c r="E122" s="1"/>
  <c r="E123" s="1"/>
  <c r="Q108"/>
  <c r="U108" s="1"/>
  <c r="P108"/>
  <c r="S108" s="1"/>
  <c r="W108" s="1"/>
  <c r="O108"/>
  <c r="R108" s="1"/>
  <c r="V108"/>
  <c r="T108"/>
  <c r="X108" s="1"/>
  <c r="K109" s="1"/>
  <c r="L109" l="1"/>
  <c r="M109"/>
  <c r="N109"/>
  <c r="D116"/>
  <c r="C116"/>
  <c r="Q97"/>
  <c r="U97" s="1"/>
  <c r="P97"/>
  <c r="S97" s="1"/>
  <c r="W97" s="1"/>
  <c r="O97"/>
  <c r="R97" s="1"/>
  <c r="V97"/>
  <c r="T97"/>
  <c r="X97" s="1"/>
  <c r="K98" s="1"/>
  <c r="L98" l="1"/>
  <c r="M98"/>
  <c r="N98"/>
  <c r="C117"/>
  <c r="D117"/>
  <c r="Q109"/>
  <c r="U109" s="1"/>
  <c r="P109"/>
  <c r="S109" s="1"/>
  <c r="W109" s="1"/>
  <c r="O109"/>
  <c r="R109" s="1"/>
  <c r="V109"/>
  <c r="T109"/>
  <c r="X109" s="1"/>
  <c r="K110" s="1"/>
  <c r="L110" l="1"/>
  <c r="N110"/>
  <c r="M110"/>
  <c r="D118"/>
  <c r="C118"/>
  <c r="Q98"/>
  <c r="U98" s="1"/>
  <c r="P98"/>
  <c r="S98" s="1"/>
  <c r="W98" s="1"/>
  <c r="O98"/>
  <c r="R98" s="1"/>
  <c r="V98"/>
  <c r="T98"/>
  <c r="X98" s="1"/>
  <c r="K99" s="1"/>
  <c r="L99" l="1"/>
  <c r="N99"/>
  <c r="M99"/>
  <c r="C119"/>
  <c r="C120" s="1"/>
  <c r="C121" s="1"/>
  <c r="C122" s="1"/>
  <c r="C123" s="1"/>
  <c r="D119"/>
  <c r="D120" s="1"/>
  <c r="D121" s="1"/>
  <c r="D122" s="1"/>
  <c r="D123" s="1"/>
  <c r="Q110"/>
  <c r="U110" s="1"/>
  <c r="P110"/>
  <c r="S110" s="1"/>
  <c r="W110" s="1"/>
  <c r="O110"/>
  <c r="R110" s="1"/>
  <c r="V110"/>
  <c r="T110"/>
  <c r="X110" s="1"/>
  <c r="K111" s="1"/>
  <c r="L111" l="1"/>
  <c r="M111"/>
  <c r="N111"/>
  <c r="Q99"/>
  <c r="U99" s="1"/>
  <c r="P99"/>
  <c r="S99" s="1"/>
  <c r="W99" s="1"/>
  <c r="O99"/>
  <c r="R99" s="1"/>
  <c r="V99"/>
  <c r="T99"/>
  <c r="X99" s="1"/>
  <c r="K100" s="1"/>
  <c r="L100" l="1"/>
  <c r="M100"/>
  <c r="N100"/>
  <c r="Q111"/>
  <c r="U111" s="1"/>
  <c r="P111"/>
  <c r="S111" s="1"/>
  <c r="W111" s="1"/>
  <c r="O111"/>
  <c r="R111" s="1"/>
  <c r="V111"/>
  <c r="T111"/>
  <c r="X111" s="1"/>
  <c r="K112" s="1"/>
  <c r="L112" l="1"/>
  <c r="N112"/>
  <c r="M112"/>
  <c r="Q100"/>
  <c r="U100" s="1"/>
  <c r="P100"/>
  <c r="S100" s="1"/>
  <c r="W100" s="1"/>
  <c r="O100"/>
  <c r="R100" s="1"/>
  <c r="V100"/>
  <c r="T100"/>
  <c r="X100" s="1"/>
  <c r="K101" s="1"/>
  <c r="L101" l="1"/>
  <c r="N101"/>
  <c r="M101"/>
  <c r="Q112"/>
  <c r="U112" s="1"/>
  <c r="P112"/>
  <c r="S112" s="1"/>
  <c r="W112" s="1"/>
  <c r="O112"/>
  <c r="R112" s="1"/>
  <c r="V112"/>
  <c r="T112"/>
  <c r="X112" s="1"/>
  <c r="K113" s="1"/>
  <c r="L113" l="1"/>
  <c r="M113"/>
  <c r="N113"/>
  <c r="Q101"/>
  <c r="U101" s="1"/>
  <c r="P101"/>
  <c r="S101" s="1"/>
  <c r="W101" s="1"/>
  <c r="O101"/>
  <c r="R101" s="1"/>
  <c r="V101"/>
  <c r="T101"/>
  <c r="X101" s="1"/>
  <c r="K102" s="1"/>
  <c r="L102" l="1"/>
  <c r="N102"/>
  <c r="M102"/>
  <c r="Q113"/>
  <c r="U113" s="1"/>
  <c r="P113"/>
  <c r="S113" s="1"/>
  <c r="W113" s="1"/>
  <c r="O113"/>
  <c r="R113" s="1"/>
  <c r="V113"/>
  <c r="T113"/>
  <c r="X113" s="1"/>
  <c r="K114" s="1"/>
  <c r="O102" l="1"/>
  <c r="R102" s="1"/>
  <c r="P102"/>
  <c r="S102" s="1"/>
  <c r="W102" s="1"/>
  <c r="Q102"/>
  <c r="U102" s="1"/>
  <c r="V102"/>
  <c r="T102"/>
  <c r="X102" s="1"/>
  <c r="L114"/>
  <c r="N114"/>
  <c r="M114"/>
  <c r="Q114" l="1"/>
  <c r="U114" s="1"/>
  <c r="P114"/>
  <c r="S114" s="1"/>
  <c r="W114" s="1"/>
  <c r="O114"/>
  <c r="R114" s="1"/>
  <c r="V114"/>
  <c r="T114"/>
  <c r="X114" s="1"/>
  <c r="K115" s="1"/>
  <c r="L115" l="1"/>
  <c r="M115"/>
  <c r="N115"/>
  <c r="Q115" l="1"/>
  <c r="U115" s="1"/>
  <c r="P115"/>
  <c r="S115" s="1"/>
  <c r="W115" s="1"/>
  <c r="O115"/>
  <c r="R115" s="1"/>
  <c r="V115"/>
  <c r="T115"/>
  <c r="X115" s="1"/>
  <c r="K116" s="1"/>
  <c r="L116" l="1"/>
  <c r="N116"/>
  <c r="M116"/>
  <c r="Q116" l="1"/>
  <c r="U116" s="1"/>
  <c r="P116"/>
  <c r="S116" s="1"/>
  <c r="W116" s="1"/>
  <c r="O116"/>
  <c r="R116" s="1"/>
  <c r="V116"/>
  <c r="T116"/>
  <c r="X116" s="1"/>
  <c r="K117" s="1"/>
  <c r="L117" l="1"/>
  <c r="M117"/>
  <c r="N117"/>
  <c r="Q117" l="1"/>
  <c r="U117" s="1"/>
  <c r="P117"/>
  <c r="S117" s="1"/>
  <c r="W117" s="1"/>
  <c r="O117"/>
  <c r="R117" s="1"/>
  <c r="V117"/>
  <c r="T117"/>
  <c r="X117" s="1"/>
  <c r="K118" s="1"/>
  <c r="L118" l="1"/>
  <c r="N118"/>
  <c r="M118"/>
  <c r="Q118" l="1"/>
  <c r="U118" s="1"/>
  <c r="P118"/>
  <c r="S118" s="1"/>
  <c r="W118" s="1"/>
  <c r="O118"/>
  <c r="R118" s="1"/>
  <c r="V118"/>
  <c r="T118"/>
  <c r="X118" s="1"/>
  <c r="K119" s="1"/>
  <c r="L119" l="1"/>
  <c r="M119"/>
  <c r="N119"/>
  <c r="Y102" l="1"/>
  <c r="B127"/>
  <c r="Q119"/>
  <c r="U119" s="1"/>
  <c r="P119"/>
  <c r="S119" s="1"/>
  <c r="W119" s="1"/>
  <c r="O119"/>
  <c r="R119" s="1"/>
  <c r="V119"/>
  <c r="T119"/>
  <c r="X119" s="1"/>
  <c r="K120" s="1"/>
  <c r="B129" l="1"/>
  <c r="C127"/>
  <c r="D127"/>
  <c r="E127"/>
  <c r="F127"/>
  <c r="G127"/>
  <c r="L127"/>
  <c r="O127"/>
  <c r="Q127"/>
  <c r="R127"/>
  <c r="S127"/>
  <c r="T127"/>
  <c r="U127"/>
  <c r="V127"/>
  <c r="W127"/>
  <c r="L120"/>
  <c r="N120"/>
  <c r="M120"/>
  <c r="AC127" l="1"/>
  <c r="X127"/>
  <c r="J127"/>
  <c r="K127" s="1"/>
  <c r="Z127" s="1"/>
  <c r="H127"/>
  <c r="I127" s="1"/>
  <c r="Q129"/>
  <c r="O129"/>
  <c r="L129"/>
  <c r="G129"/>
  <c r="F129"/>
  <c r="E129"/>
  <c r="D129"/>
  <c r="C129"/>
  <c r="AA127"/>
  <c r="Y127"/>
  <c r="AB127" s="1"/>
  <c r="P127"/>
  <c r="Q120"/>
  <c r="U120" s="1"/>
  <c r="P120"/>
  <c r="S120" s="1"/>
  <c r="W120" s="1"/>
  <c r="O120"/>
  <c r="R120" s="1"/>
  <c r="V120"/>
  <c r="T120"/>
  <c r="X120" s="1"/>
  <c r="K121" s="1"/>
  <c r="AE127" l="1"/>
  <c r="AD127"/>
  <c r="AK127" s="1"/>
  <c r="J129"/>
  <c r="K129" s="1"/>
  <c r="H129"/>
  <c r="I129" s="1"/>
  <c r="AE129"/>
  <c r="AD129"/>
  <c r="AC129"/>
  <c r="AB129"/>
  <c r="AA129"/>
  <c r="Z129"/>
  <c r="Y129"/>
  <c r="W129"/>
  <c r="V129"/>
  <c r="U129"/>
  <c r="T129"/>
  <c r="R129"/>
  <c r="S129" s="1"/>
  <c r="AH129"/>
  <c r="AF129"/>
  <c r="AG129" s="1"/>
  <c r="AF127"/>
  <c r="AI129"/>
  <c r="P129"/>
  <c r="L121"/>
  <c r="M121"/>
  <c r="N121"/>
  <c r="AN127" l="1"/>
  <c r="AM127"/>
  <c r="AL127"/>
  <c r="AO127" s="1"/>
  <c r="AK129"/>
  <c r="AL129"/>
  <c r="Q121"/>
  <c r="U121" s="1"/>
  <c r="P121"/>
  <c r="S121" s="1"/>
  <c r="W121" s="1"/>
  <c r="O121"/>
  <c r="R121" s="1"/>
  <c r="V121"/>
  <c r="T121"/>
  <c r="X121" s="1"/>
  <c r="K122" s="1"/>
  <c r="AP129" l="1"/>
  <c r="AM129"/>
  <c r="AJ129"/>
  <c r="AN129" s="1"/>
  <c r="AP127"/>
  <c r="AQ127" s="1"/>
  <c r="AR127"/>
  <c r="L122"/>
  <c r="N122"/>
  <c r="M122"/>
  <c r="B20" l="1"/>
  <c r="AT127"/>
  <c r="AS127"/>
  <c r="AO129"/>
  <c r="Q122"/>
  <c r="U122" s="1"/>
  <c r="P122"/>
  <c r="S122" s="1"/>
  <c r="W122" s="1"/>
  <c r="O122"/>
  <c r="R122" s="1"/>
  <c r="V122"/>
  <c r="T122"/>
  <c r="X122" s="1"/>
  <c r="K123" s="1"/>
  <c r="C23" l="1"/>
  <c r="L123"/>
  <c r="M123"/>
  <c r="N123"/>
  <c r="O123" l="1"/>
  <c r="R123" s="1"/>
  <c r="P123"/>
  <c r="S123" s="1"/>
  <c r="W123" s="1"/>
  <c r="Q123"/>
  <c r="U123" s="1"/>
  <c r="V123"/>
  <c r="T123"/>
  <c r="X123" s="1"/>
  <c r="Y123"/>
  <c r="B132"/>
  <c r="B134" s="1"/>
  <c r="Q134" l="1"/>
  <c r="C134"/>
  <c r="D134"/>
  <c r="E134"/>
  <c r="F134"/>
  <c r="G134"/>
  <c r="L134"/>
  <c r="O134"/>
  <c r="W132"/>
  <c r="C132"/>
  <c r="D132"/>
  <c r="E132"/>
  <c r="F132"/>
  <c r="G132"/>
  <c r="L132"/>
  <c r="O132"/>
  <c r="Q132"/>
  <c r="R132"/>
  <c r="S132"/>
  <c r="T132"/>
  <c r="U132"/>
  <c r="V132"/>
  <c r="J134" l="1"/>
  <c r="K134" s="1"/>
  <c r="H134"/>
  <c r="I134" s="1"/>
  <c r="AE134"/>
  <c r="AD134"/>
  <c r="AC134"/>
  <c r="AB134"/>
  <c r="AA134"/>
  <c r="Z134"/>
  <c r="Y134"/>
  <c r="W134"/>
  <c r="V134"/>
  <c r="U134"/>
  <c r="T134"/>
  <c r="R134"/>
  <c r="S134" s="1"/>
  <c r="AH134"/>
  <c r="AF134"/>
  <c r="AG134" s="1"/>
  <c r="P134"/>
  <c r="AI134"/>
  <c r="AC132"/>
  <c r="X132"/>
  <c r="J132"/>
  <c r="K132" s="1"/>
  <c r="Z132" s="1"/>
  <c r="H132"/>
  <c r="I132" s="1"/>
  <c r="AA132"/>
  <c r="Y132"/>
  <c r="AB132" s="1"/>
  <c r="P132"/>
  <c r="AK134" l="1"/>
  <c r="AL134"/>
  <c r="AE132"/>
  <c r="AD132"/>
  <c r="AK132" s="1"/>
  <c r="AF132"/>
  <c r="AP134" l="1"/>
  <c r="AM134"/>
  <c r="AJ134"/>
  <c r="AN134" s="1"/>
  <c r="AN132"/>
  <c r="AM132"/>
  <c r="AL132"/>
  <c r="AO132" s="1"/>
  <c r="B21" l="1"/>
  <c r="AO134"/>
  <c r="AP132"/>
  <c r="AQ132" s="1"/>
  <c r="AR132"/>
  <c r="AT132" l="1"/>
  <c r="AS132"/>
  <c r="C24" l="1"/>
</calcChain>
</file>

<file path=xl/sharedStrings.xml><?xml version="1.0" encoding="utf-8"?>
<sst xmlns="http://schemas.openxmlformats.org/spreadsheetml/2006/main" count="531" uniqueCount="277">
  <si>
    <t>M</t>
  </si>
  <si>
    <t>A</t>
  </si>
  <si>
    <t>B</t>
  </si>
  <si>
    <t>JDJ</t>
  </si>
  <si>
    <t>JDG</t>
  </si>
  <si>
    <t>JD</t>
  </si>
  <si>
    <t>T</t>
  </si>
  <si>
    <t>ΔΨ[⌒]</t>
  </si>
  <si>
    <t>Δε[⌒]</t>
  </si>
  <si>
    <t>ΔΨ</t>
  </si>
  <si>
    <t>Δε</t>
  </si>
  <si>
    <t>Berechnung der Mondposition mit Teilen der Brown'schen Mondtheorie</t>
  </si>
  <si>
    <t>p</t>
  </si>
  <si>
    <t>q</t>
  </si>
  <si>
    <t>r</t>
  </si>
  <si>
    <t>ΣΔλ</t>
  </si>
  <si>
    <t>ΣΔS</t>
  </si>
  <si>
    <t>ΣΔsinπ</t>
  </si>
  <si>
    <t>Die Berechnung der Nutation ΔΨ und Δε gemäß dem EXPLANATORY SUPPLEMENT to the ASTRONOMICAL ALMANAC</t>
  </si>
  <si>
    <t>Δλ</t>
  </si>
  <si>
    <t>ΔS</t>
  </si>
  <si>
    <t>Δsinπ</t>
  </si>
  <si>
    <t>S</t>
  </si>
  <si>
    <r>
      <t>ε</t>
    </r>
    <r>
      <rPr>
        <vertAlign val="subscript"/>
        <sz val="9"/>
        <rFont val="Arial Unicode MS"/>
        <family val="2"/>
      </rPr>
      <t>0</t>
    </r>
    <r>
      <rPr>
        <sz val="9"/>
        <rFont val="Arial Unicode MS"/>
        <family val="2"/>
      </rPr>
      <t>[⌒]</t>
    </r>
  </si>
  <si>
    <r>
      <t>Σγ</t>
    </r>
    <r>
      <rPr>
        <vertAlign val="subscript"/>
        <sz val="9"/>
        <color theme="1"/>
        <rFont val="Arial Unicode MS"/>
        <family val="2"/>
      </rPr>
      <t>1</t>
    </r>
    <r>
      <rPr>
        <sz val="9"/>
        <color theme="1"/>
        <rFont val="Arial Unicode MS"/>
        <family val="2"/>
      </rPr>
      <t>C</t>
    </r>
  </si>
  <si>
    <r>
      <t>γ</t>
    </r>
    <r>
      <rPr>
        <vertAlign val="subscript"/>
        <sz val="9"/>
        <color theme="1"/>
        <rFont val="Arial Unicode MS"/>
        <family val="2"/>
      </rPr>
      <t>1</t>
    </r>
    <r>
      <rPr>
        <sz val="9"/>
        <color theme="1"/>
        <rFont val="Arial Unicode MS"/>
        <family val="2"/>
      </rPr>
      <t>C</t>
    </r>
  </si>
  <si>
    <r>
      <t>π</t>
    </r>
    <r>
      <rPr>
        <vertAlign val="subscript"/>
        <sz val="9"/>
        <color theme="1"/>
        <rFont val="Arial Unicode MS"/>
        <family val="2"/>
      </rPr>
      <t>☾</t>
    </r>
    <r>
      <rPr>
        <sz val="9"/>
        <color theme="1"/>
        <rFont val="Arial Unicode MS"/>
        <family val="2"/>
      </rPr>
      <t>⌒</t>
    </r>
  </si>
  <si>
    <r>
      <t>SD</t>
    </r>
    <r>
      <rPr>
        <vertAlign val="subscript"/>
        <sz val="9"/>
        <color theme="1"/>
        <rFont val="Arial Unicode MS"/>
        <family val="2"/>
      </rPr>
      <t>☾</t>
    </r>
    <r>
      <rPr>
        <sz val="9"/>
        <color theme="1"/>
        <rFont val="Arial Unicode MS"/>
        <family val="2"/>
      </rPr>
      <t>⌒</t>
    </r>
  </si>
  <si>
    <r>
      <t>α</t>
    </r>
    <r>
      <rPr>
        <vertAlign val="subscript"/>
        <sz val="9"/>
        <color theme="1"/>
        <rFont val="Arial Unicode MS"/>
        <family val="2"/>
      </rPr>
      <t>☾</t>
    </r>
    <r>
      <rPr>
        <sz val="9"/>
        <color theme="1"/>
        <rFont val="Arial Unicode MS"/>
        <family val="2"/>
      </rPr>
      <t>⌒</t>
    </r>
  </si>
  <si>
    <r>
      <t>δ</t>
    </r>
    <r>
      <rPr>
        <vertAlign val="subscript"/>
        <sz val="9"/>
        <color theme="1"/>
        <rFont val="Arial Unicode MS"/>
        <family val="2"/>
      </rPr>
      <t>☾</t>
    </r>
    <r>
      <rPr>
        <sz val="9"/>
        <color theme="1"/>
        <rFont val="Arial Unicode MS"/>
        <family val="2"/>
      </rPr>
      <t>⌒</t>
    </r>
  </si>
  <si>
    <r>
      <t>λ</t>
    </r>
    <r>
      <rPr>
        <vertAlign val="subscript"/>
        <sz val="9"/>
        <color theme="1"/>
        <rFont val="Arial Unicode MS"/>
        <family val="2"/>
      </rPr>
      <t>☾</t>
    </r>
    <r>
      <rPr>
        <sz val="9"/>
        <color theme="1"/>
        <rFont val="Arial Unicode MS"/>
        <family val="2"/>
      </rPr>
      <t xml:space="preserve">° </t>
    </r>
  </si>
  <si>
    <r>
      <t>β</t>
    </r>
    <r>
      <rPr>
        <vertAlign val="subscript"/>
        <sz val="9"/>
        <color theme="1"/>
        <rFont val="Arial Unicode MS"/>
        <family val="2"/>
      </rPr>
      <t>☾</t>
    </r>
    <r>
      <rPr>
        <sz val="9"/>
        <color theme="1"/>
        <rFont val="Arial Unicode MS"/>
        <family val="2"/>
      </rPr>
      <t>°</t>
    </r>
  </si>
  <si>
    <r>
      <t>α</t>
    </r>
    <r>
      <rPr>
        <vertAlign val="subscript"/>
        <sz val="9"/>
        <color theme="1"/>
        <rFont val="Arial Unicode MS"/>
        <family val="2"/>
      </rPr>
      <t>☾</t>
    </r>
    <r>
      <rPr>
        <sz val="9"/>
        <color theme="1"/>
        <rFont val="Arial Unicode MS"/>
        <family val="2"/>
      </rPr>
      <t>h</t>
    </r>
  </si>
  <si>
    <r>
      <t>δ</t>
    </r>
    <r>
      <rPr>
        <vertAlign val="subscript"/>
        <sz val="9"/>
        <color theme="1"/>
        <rFont val="Arial Unicode MS"/>
        <family val="2"/>
      </rPr>
      <t>☾</t>
    </r>
    <r>
      <rPr>
        <sz val="9"/>
        <color theme="1"/>
        <rFont val="Arial Unicode MS"/>
        <family val="2"/>
      </rPr>
      <t>°</t>
    </r>
  </si>
  <si>
    <r>
      <t>π</t>
    </r>
    <r>
      <rPr>
        <vertAlign val="subscript"/>
        <sz val="9"/>
        <color theme="1"/>
        <rFont val="Arial Unicode MS"/>
        <family val="2"/>
      </rPr>
      <t>☾</t>
    </r>
    <r>
      <rPr>
        <sz val="9"/>
        <color theme="1"/>
        <rFont val="Arial Unicode MS"/>
        <family val="2"/>
      </rPr>
      <t>°</t>
    </r>
  </si>
  <si>
    <t>Zeit? UT = 0,</t>
  </si>
  <si>
    <t>Ist ΔT bekannt?</t>
  </si>
  <si>
    <t>hier verwendet:</t>
  </si>
  <si>
    <t>Jahr</t>
  </si>
  <si>
    <t>Monat</t>
  </si>
  <si>
    <t>Tag</t>
  </si>
  <si>
    <t>MEZ = 1; MESZ = 2</t>
  </si>
  <si>
    <t>ja = 1; nein = 0</t>
  </si>
  <si>
    <t xml:space="preserve"> ➨</t>
  </si>
  <si>
    <t>μα [s]</t>
  </si>
  <si>
    <t>μδ ["]</t>
  </si>
  <si>
    <r>
      <t>α</t>
    </r>
    <r>
      <rPr>
        <vertAlign val="subscript"/>
        <sz val="9"/>
        <color indexed="9"/>
        <rFont val="Arial Unicode MS"/>
        <family val="2"/>
      </rPr>
      <t>app</t>
    </r>
  </si>
  <si>
    <r>
      <t>δ</t>
    </r>
    <r>
      <rPr>
        <vertAlign val="subscript"/>
        <sz val="9"/>
        <color indexed="9"/>
        <rFont val="Arial Unicode MS"/>
        <family val="2"/>
      </rPr>
      <t>app</t>
    </r>
  </si>
  <si>
    <t>α [h,ms]</t>
  </si>
  <si>
    <t>δ [°, ' "]</t>
  </si>
  <si>
    <t>Berechnung</t>
  </si>
  <si>
    <t>Jahr ≈</t>
  </si>
  <si>
    <t>Jahr &gt; 2151</t>
  </si>
  <si>
    <t>Jahr &lt; 2151</t>
  </si>
  <si>
    <t>Jahr &lt; 2051</t>
  </si>
  <si>
    <t>Jahr &lt; 2006</t>
  </si>
  <si>
    <t>Jahr &lt; 1987</t>
  </si>
  <si>
    <t>Jahr &lt; 1962</t>
  </si>
  <si>
    <t>Jahr &lt; 1942</t>
  </si>
  <si>
    <t>Jahr &lt; 1921</t>
  </si>
  <si>
    <t>Jahr &lt; 1901</t>
  </si>
  <si>
    <t>Jahr &lt; 1861</t>
  </si>
  <si>
    <t>Jahr &lt; 1801</t>
  </si>
  <si>
    <t>Jahr &lt; 1701</t>
  </si>
  <si>
    <t>Jahr &lt; 1601</t>
  </si>
  <si>
    <t>Jahr &lt;   501</t>
  </si>
  <si>
    <t>Jahr &lt; - 500</t>
  </si>
  <si>
    <t>ΔT =</t>
  </si>
  <si>
    <t>y</t>
  </si>
  <si>
    <t>m</t>
  </si>
  <si>
    <t>d</t>
  </si>
  <si>
    <t>t [h] TDT</t>
  </si>
  <si>
    <t>D</t>
  </si>
  <si>
    <t>Y</t>
  </si>
  <si>
    <t xml:space="preserve"> Zielpoche (JD)   =</t>
  </si>
  <si>
    <t>JDE</t>
  </si>
  <si>
    <t>Z</t>
  </si>
  <si>
    <t>F</t>
  </si>
  <si>
    <t>α</t>
  </si>
  <si>
    <t>C</t>
  </si>
  <si>
    <t>E</t>
  </si>
  <si>
    <t>[h] TDT</t>
  </si>
  <si>
    <t>Startpoche (JD)₀ =</t>
  </si>
  <si>
    <t>Startpoche (JD)₀</t>
  </si>
  <si>
    <t>Zielpoche (JD)</t>
  </si>
  <si>
    <t>t</t>
  </si>
  <si>
    <t>α₀ [RAD]</t>
  </si>
  <si>
    <t>δ₀ [RAD]</t>
  </si>
  <si>
    <t>ζ [RAD]</t>
  </si>
  <si>
    <t>z [RAD]</t>
  </si>
  <si>
    <t>θ [RAD]</t>
  </si>
  <si>
    <r>
      <t>α</t>
    </r>
    <r>
      <rPr>
        <vertAlign val="subscript"/>
        <sz val="9"/>
        <rFont val="Arial Unicode MS"/>
        <family val="2"/>
      </rPr>
      <t>Z</t>
    </r>
    <r>
      <rPr>
        <sz val="9"/>
        <rFont val="Arial Unicode MS"/>
        <family val="2"/>
      </rPr>
      <t xml:space="preserve"> [h]</t>
    </r>
  </si>
  <si>
    <r>
      <t>δ</t>
    </r>
    <r>
      <rPr>
        <vertAlign val="subscript"/>
        <sz val="9"/>
        <rFont val="Arial Unicode MS"/>
        <family val="2"/>
      </rPr>
      <t>Z</t>
    </r>
    <r>
      <rPr>
        <sz val="9"/>
        <rFont val="Arial Unicode MS"/>
        <family val="2"/>
      </rPr>
      <t xml:space="preserve"> [°]</t>
    </r>
  </si>
  <si>
    <r>
      <t>α</t>
    </r>
    <r>
      <rPr>
        <vertAlign val="subscript"/>
        <sz val="9"/>
        <rFont val="Arial Unicode MS"/>
        <family val="2"/>
      </rPr>
      <t>S</t>
    </r>
    <r>
      <rPr>
        <sz val="9"/>
        <rFont val="Arial Unicode MS"/>
        <family val="2"/>
      </rPr>
      <t xml:space="preserve"> [h]</t>
    </r>
  </si>
  <si>
    <r>
      <t>δ</t>
    </r>
    <r>
      <rPr>
        <vertAlign val="subscript"/>
        <sz val="9"/>
        <rFont val="Arial Unicode MS"/>
        <family val="2"/>
      </rPr>
      <t>S</t>
    </r>
    <r>
      <rPr>
        <sz val="9"/>
        <rFont val="Arial Unicode MS"/>
        <family val="2"/>
      </rPr>
      <t xml:space="preserve"> [°]</t>
    </r>
  </si>
  <si>
    <t>Präzession in α und δ =</t>
  </si>
  <si>
    <t xml:space="preserve">        Nutation</t>
  </si>
  <si>
    <t xml:space="preserve">      Aberration</t>
  </si>
  <si>
    <r>
      <t>T</t>
    </r>
    <r>
      <rPr>
        <vertAlign val="subscript"/>
        <sz val="9"/>
        <rFont val="Arial Unicode MS"/>
        <family val="2"/>
      </rPr>
      <t>[TDT]</t>
    </r>
  </si>
  <si>
    <t>l [RAD]</t>
  </si>
  <si>
    <t>l' [RAd]</t>
  </si>
  <si>
    <t>F [RAD]</t>
  </si>
  <si>
    <t>D [RAD]</t>
  </si>
  <si>
    <t>☊[RAD]</t>
  </si>
  <si>
    <t>ΔΨ ["]</t>
  </si>
  <si>
    <t>ΔΨ [RAD]</t>
  </si>
  <si>
    <t>Δε ["]</t>
  </si>
  <si>
    <t>Δε [RAD]</t>
  </si>
  <si>
    <r>
      <t>ε</t>
    </r>
    <r>
      <rPr>
        <vertAlign val="subscript"/>
        <sz val="9"/>
        <rFont val="Arial Unicode MS"/>
        <family val="2"/>
      </rPr>
      <t xml:space="preserve">0 </t>
    </r>
    <r>
      <rPr>
        <sz val="9"/>
        <rFont val="Arial Unicode MS"/>
        <family val="2"/>
      </rPr>
      <t>[RAD]</t>
    </r>
  </si>
  <si>
    <t>(Zeitzone)</t>
  </si>
  <si>
    <t>τ</t>
  </si>
  <si>
    <t>L0</t>
  </si>
  <si>
    <t>L1</t>
  </si>
  <si>
    <t>L2</t>
  </si>
  <si>
    <t>L3</t>
  </si>
  <si>
    <t>L4</t>
  </si>
  <si>
    <t>L5</t>
  </si>
  <si>
    <t>B0</t>
  </si>
  <si>
    <t>B1</t>
  </si>
  <si>
    <t>R0</t>
  </si>
  <si>
    <t>R1</t>
  </si>
  <si>
    <t>R2</t>
  </si>
  <si>
    <t>R3</t>
  </si>
  <si>
    <t>R4</t>
  </si>
  <si>
    <t>☉' [RAD]</t>
  </si>
  <si>
    <r>
      <t>λ'</t>
    </r>
    <r>
      <rPr>
        <vertAlign val="subscript"/>
        <sz val="9"/>
        <rFont val="Arial Unicode MS"/>
        <family val="2"/>
      </rPr>
      <t>☉app</t>
    </r>
    <r>
      <rPr>
        <sz val="9"/>
        <rFont val="Arial Unicode MS"/>
        <family val="2"/>
      </rPr>
      <t xml:space="preserve"> [RAD]</t>
    </r>
  </si>
  <si>
    <t>☉[RAD]</t>
  </si>
  <si>
    <t>ε [RAD]</t>
  </si>
  <si>
    <t>e</t>
  </si>
  <si>
    <t>π [RAD]</t>
  </si>
  <si>
    <t>κ [RAD]</t>
  </si>
  <si>
    <r>
      <t>α</t>
    </r>
    <r>
      <rPr>
        <vertAlign val="subscript"/>
        <sz val="9"/>
        <rFont val="Arial Unicode MS"/>
        <family val="2"/>
      </rPr>
      <t>Z</t>
    </r>
    <r>
      <rPr>
        <sz val="9"/>
        <rFont val="Arial Unicode MS"/>
        <family val="2"/>
      </rPr>
      <t xml:space="preserve"> [RAD]</t>
    </r>
  </si>
  <si>
    <r>
      <t>δ</t>
    </r>
    <r>
      <rPr>
        <vertAlign val="subscript"/>
        <sz val="9"/>
        <rFont val="Arial Unicode MS"/>
        <family val="2"/>
      </rPr>
      <t>Z</t>
    </r>
    <r>
      <rPr>
        <sz val="9"/>
        <rFont val="Arial Unicode MS"/>
        <family val="2"/>
      </rPr>
      <t xml:space="preserve"> [RAD]</t>
    </r>
  </si>
  <si>
    <r>
      <t>Δα</t>
    </r>
    <r>
      <rPr>
        <vertAlign val="subscript"/>
        <sz val="9"/>
        <rFont val="Arial Unicode MS"/>
        <family val="2"/>
      </rPr>
      <t>1</t>
    </r>
  </si>
  <si>
    <r>
      <t>Δδ</t>
    </r>
    <r>
      <rPr>
        <vertAlign val="subscript"/>
        <sz val="9"/>
        <rFont val="Arial Unicode MS"/>
        <family val="2"/>
      </rPr>
      <t>1</t>
    </r>
  </si>
  <si>
    <r>
      <t>Δα</t>
    </r>
    <r>
      <rPr>
        <vertAlign val="subscript"/>
        <sz val="9"/>
        <rFont val="Arial Unicode MS"/>
        <family val="2"/>
      </rPr>
      <t>2</t>
    </r>
  </si>
  <si>
    <r>
      <t>Δδ</t>
    </r>
    <r>
      <rPr>
        <vertAlign val="subscript"/>
        <sz val="9"/>
        <rFont val="Arial Unicode MS"/>
        <family val="2"/>
      </rPr>
      <t>2</t>
    </r>
  </si>
  <si>
    <t>Nutation und Aberration =</t>
  </si>
  <si>
    <t>h TDT</t>
  </si>
  <si>
    <r>
      <t>α</t>
    </r>
    <r>
      <rPr>
        <vertAlign val="subscript"/>
        <sz val="9"/>
        <color theme="1"/>
        <rFont val="Arial Unicode MS"/>
        <family val="2"/>
      </rPr>
      <t>✶</t>
    </r>
    <r>
      <rPr>
        <sz val="9"/>
        <color theme="1"/>
        <rFont val="Arial Unicode MS"/>
        <family val="2"/>
      </rPr>
      <t>h</t>
    </r>
  </si>
  <si>
    <t>T TDT</t>
  </si>
  <si>
    <t>Beobachtungsort?</t>
  </si>
  <si>
    <t>Höhe über NN [ m ]</t>
  </si>
  <si>
    <r>
      <t>ϑ</t>
    </r>
    <r>
      <rPr>
        <vertAlign val="subscript"/>
        <sz val="9"/>
        <color theme="1"/>
        <rFont val="Arial Unicode MS"/>
        <family val="2"/>
      </rPr>
      <t>0 app</t>
    </r>
    <r>
      <rPr>
        <sz val="9"/>
        <color theme="1"/>
        <rFont val="Arial Unicode MS"/>
        <family val="2"/>
      </rPr>
      <t xml:space="preserve"> [h]</t>
    </r>
  </si>
  <si>
    <r>
      <t>T</t>
    </r>
    <r>
      <rPr>
        <vertAlign val="subscript"/>
        <sz val="9"/>
        <color theme="1"/>
        <rFont val="Arial Unicode MS"/>
        <family val="2"/>
      </rPr>
      <t>ϑ</t>
    </r>
  </si>
  <si>
    <r>
      <rPr>
        <sz val="9"/>
        <color theme="1"/>
        <rFont val="Calibri"/>
        <family val="2"/>
      </rPr>
      <t>λ</t>
    </r>
    <r>
      <rPr>
        <sz val="9"/>
        <color theme="1"/>
        <rFont val="Arial Unicode MS"/>
        <family val="2"/>
      </rPr>
      <t xml:space="preserve"> </t>
    </r>
    <r>
      <rPr>
        <sz val="9"/>
        <color theme="1"/>
        <rFont val="Calibri"/>
        <family val="2"/>
      </rPr>
      <t>[ ° ]</t>
    </r>
  </si>
  <si>
    <r>
      <rPr>
        <sz val="9"/>
        <color theme="1"/>
        <rFont val="Arial Unicode MS"/>
        <family val="2"/>
        <charset val="128"/>
      </rPr>
      <t>φ</t>
    </r>
    <r>
      <rPr>
        <sz val="9"/>
        <color theme="1"/>
        <rFont val="Arial Unicode MS"/>
        <family val="2"/>
      </rPr>
      <t xml:space="preserve"> </t>
    </r>
    <r>
      <rPr>
        <sz val="9"/>
        <color theme="1"/>
        <rFont val="Calibri"/>
        <family val="2"/>
      </rPr>
      <t>[RAD]</t>
    </r>
  </si>
  <si>
    <t xml:space="preserve">Höhe ü. NN [m] </t>
  </si>
  <si>
    <r>
      <t xml:space="preserve">α✶ </t>
    </r>
    <r>
      <rPr>
        <sz val="9"/>
        <color theme="1"/>
        <rFont val="Calibri"/>
        <family val="2"/>
      </rPr>
      <t>[RAD]</t>
    </r>
  </si>
  <si>
    <r>
      <rPr>
        <sz val="9"/>
        <color theme="1"/>
        <rFont val="Arial Unicode MS"/>
        <family val="2"/>
        <charset val="128"/>
      </rPr>
      <t>δ</t>
    </r>
    <r>
      <rPr>
        <sz val="9"/>
        <color theme="1"/>
        <rFont val="Arial Unicode MS"/>
        <family val="2"/>
      </rPr>
      <t xml:space="preserve">✶ </t>
    </r>
    <r>
      <rPr>
        <sz val="9"/>
        <color theme="1"/>
        <rFont val="Calibri"/>
        <family val="2"/>
      </rPr>
      <t>[RAD]</t>
    </r>
  </si>
  <si>
    <t>T1 [h]</t>
  </si>
  <si>
    <r>
      <t xml:space="preserve">α☾₁ </t>
    </r>
    <r>
      <rPr>
        <sz val="9"/>
        <color theme="1"/>
        <rFont val="Calibri"/>
        <family val="2"/>
      </rPr>
      <t>[RAD]</t>
    </r>
  </si>
  <si>
    <r>
      <rPr>
        <sz val="9"/>
        <color theme="1"/>
        <rFont val="Arial Unicode MS"/>
        <family val="2"/>
        <charset val="128"/>
      </rPr>
      <t>δ</t>
    </r>
    <r>
      <rPr>
        <sz val="9"/>
        <color theme="1"/>
        <rFont val="Arial Unicode MS"/>
        <family val="2"/>
      </rPr>
      <t xml:space="preserve">☾₁ </t>
    </r>
    <r>
      <rPr>
        <sz val="9"/>
        <color theme="1"/>
        <rFont val="Calibri"/>
        <family val="2"/>
      </rPr>
      <t>[RAD]</t>
    </r>
  </si>
  <si>
    <r>
      <t xml:space="preserve">π☾₁ </t>
    </r>
    <r>
      <rPr>
        <sz val="9"/>
        <color theme="1"/>
        <rFont val="Calibri"/>
        <family val="2"/>
      </rPr>
      <t>[RAD]</t>
    </r>
  </si>
  <si>
    <r>
      <t xml:space="preserve">α☾₂ </t>
    </r>
    <r>
      <rPr>
        <sz val="9"/>
        <color theme="1"/>
        <rFont val="Calibri"/>
        <family val="2"/>
      </rPr>
      <t>[RAD]</t>
    </r>
  </si>
  <si>
    <r>
      <rPr>
        <sz val="9"/>
        <color theme="1"/>
        <rFont val="Arial Unicode MS"/>
        <family val="2"/>
        <charset val="128"/>
      </rPr>
      <t>δ</t>
    </r>
    <r>
      <rPr>
        <sz val="9"/>
        <color theme="1"/>
        <rFont val="Arial Unicode MS"/>
        <family val="2"/>
      </rPr>
      <t xml:space="preserve">☾₂ </t>
    </r>
    <r>
      <rPr>
        <sz val="9"/>
        <color theme="1"/>
        <rFont val="Calibri"/>
        <family val="2"/>
      </rPr>
      <t>[RAD]</t>
    </r>
  </si>
  <si>
    <r>
      <t xml:space="preserve">π☾₂ </t>
    </r>
    <r>
      <rPr>
        <sz val="9"/>
        <color theme="1"/>
        <rFont val="Calibri"/>
        <family val="2"/>
      </rPr>
      <t>[RAD]</t>
    </r>
  </si>
  <si>
    <t>x₁</t>
  </si>
  <si>
    <t>y₁</t>
  </si>
  <si>
    <t>x₂</t>
  </si>
  <si>
    <t>y₂</t>
  </si>
  <si>
    <r>
      <t>T</t>
    </r>
    <r>
      <rPr>
        <vertAlign val="subscript"/>
        <sz val="9"/>
        <color theme="1"/>
        <rFont val="Arial Unicode MS"/>
        <family val="2"/>
      </rPr>
      <t>E</t>
    </r>
  </si>
  <si>
    <r>
      <t>H</t>
    </r>
    <r>
      <rPr>
        <vertAlign val="subscript"/>
        <sz val="9"/>
        <color theme="1"/>
        <rFont val="Arial Unicode MS"/>
        <family val="2"/>
      </rPr>
      <t>E</t>
    </r>
  </si>
  <si>
    <t>Berechnung der Bessel'schen Elemente der Sternbedeckung und der Ein- und Austrittszeitpunkte</t>
  </si>
  <si>
    <t>H₀</t>
  </si>
  <si>
    <t>x'</t>
  </si>
  <si>
    <t>y'</t>
  </si>
  <si>
    <r>
      <rPr>
        <sz val="9"/>
        <color theme="1"/>
        <rFont val="Arial Unicode MS"/>
        <family val="2"/>
        <charset val="128"/>
      </rPr>
      <t>δ</t>
    </r>
    <r>
      <rPr>
        <sz val="9"/>
        <color theme="1"/>
        <rFont val="Arial Unicode MS"/>
        <family val="2"/>
      </rPr>
      <t xml:space="preserve">✶ </t>
    </r>
    <r>
      <rPr>
        <sz val="9"/>
        <color theme="1"/>
        <rFont val="Calibri"/>
        <family val="2"/>
      </rPr>
      <t>[Rad]</t>
    </r>
  </si>
  <si>
    <r>
      <rPr>
        <sz val="9"/>
        <color theme="1"/>
        <rFont val="Calibri"/>
        <family val="2"/>
      </rPr>
      <t xml:space="preserve">ρ </t>
    </r>
    <r>
      <rPr>
        <sz val="9"/>
        <color theme="1"/>
        <rFont val="Arial Unicode MS"/>
        <family val="2"/>
      </rPr>
      <t xml:space="preserve">‧ sin </t>
    </r>
    <r>
      <rPr>
        <sz val="9"/>
        <color theme="1"/>
        <rFont val="Arial Unicode MS"/>
        <family val="2"/>
        <charset val="128"/>
      </rPr>
      <t>φ'</t>
    </r>
  </si>
  <si>
    <r>
      <rPr>
        <sz val="9"/>
        <color theme="1"/>
        <rFont val="Calibri"/>
        <family val="2"/>
      </rPr>
      <t xml:space="preserve">ρ </t>
    </r>
    <r>
      <rPr>
        <sz val="9"/>
        <color theme="1"/>
        <rFont val="Arial Unicode MS"/>
        <family val="2"/>
      </rPr>
      <t xml:space="preserve">‧ cos </t>
    </r>
    <r>
      <rPr>
        <sz val="9"/>
        <color theme="1"/>
        <rFont val="Arial Unicode MS"/>
        <family val="2"/>
        <charset val="128"/>
      </rPr>
      <t>φ'</t>
    </r>
  </si>
  <si>
    <r>
      <rPr>
        <sz val="9"/>
        <color theme="1"/>
        <rFont val="Calibri"/>
        <family val="2"/>
      </rPr>
      <t>λ</t>
    </r>
    <r>
      <rPr>
        <sz val="9"/>
        <color theme="1"/>
        <rFont val="Arial Unicode MS"/>
        <family val="2"/>
      </rPr>
      <t xml:space="preserve"> </t>
    </r>
    <r>
      <rPr>
        <sz val="9"/>
        <color theme="1"/>
        <rFont val="Calibri"/>
        <family val="2"/>
      </rPr>
      <t>[h]</t>
    </r>
  </si>
  <si>
    <t>x</t>
  </si>
  <si>
    <r>
      <t xml:space="preserve">H </t>
    </r>
    <r>
      <rPr>
        <sz val="9"/>
        <color theme="1"/>
        <rFont val="Calibri"/>
        <family val="2"/>
      </rPr>
      <t>[RAD]</t>
    </r>
  </si>
  <si>
    <t>Q</t>
  </si>
  <si>
    <t>ξ</t>
  </si>
  <si>
    <t>ξ '</t>
  </si>
  <si>
    <t>η</t>
  </si>
  <si>
    <t>η '</t>
  </si>
  <si>
    <t>f</t>
  </si>
  <si>
    <t>f '</t>
  </si>
  <si>
    <t>g</t>
  </si>
  <si>
    <t>g'</t>
  </si>
  <si>
    <t>Δt</t>
  </si>
  <si>
    <t>Zusammenstellung der erforderlichen Daten für die Berechnung</t>
  </si>
  <si>
    <t>Δε["]</t>
  </si>
  <si>
    <r>
      <t xml:space="preserve">ΔT </t>
    </r>
    <r>
      <rPr>
        <sz val="9"/>
        <color indexed="9"/>
        <rFont val="Arial Unicode MS"/>
        <family val="2"/>
      </rPr>
      <t>[sek]</t>
    </r>
  </si>
  <si>
    <t>Σl</t>
  </si>
  <si>
    <t>Σb</t>
  </si>
  <si>
    <t>ρ ★ sin φ'</t>
  </si>
  <si>
    <t>ρ ★ cos φ'</t>
  </si>
  <si>
    <r>
      <t>R</t>
    </r>
    <r>
      <rPr>
        <vertAlign val="subscript"/>
        <sz val="9"/>
        <rFont val="Arial Unicode MS"/>
        <family val="2"/>
      </rPr>
      <t>☉</t>
    </r>
  </si>
  <si>
    <r>
      <t>π</t>
    </r>
    <r>
      <rPr>
        <vertAlign val="subscript"/>
        <sz val="9"/>
        <rFont val="Arial Unicode MS"/>
        <family val="2"/>
      </rPr>
      <t>☉</t>
    </r>
    <r>
      <rPr>
        <sz val="9"/>
        <rFont val="Arial Unicode MS"/>
        <family val="2"/>
      </rPr>
      <t>[⌒]</t>
    </r>
  </si>
  <si>
    <t>Die Berechnung der Position des Mondes mit Teilen der Mondtheorie ELP-2000/82</t>
  </si>
  <si>
    <t>Berechnung von Azimut und Höhe sowie dem beleuchteten Teil des Mondes bei Ein- und Austritt des Sterns</t>
  </si>
  <si>
    <t>geogr. Breite φ [ °,' " ]</t>
  </si>
  <si>
    <t>bekanntes ΔT [s]</t>
  </si>
  <si>
    <t>am Meridian von Greenwich</t>
  </si>
  <si>
    <r>
      <t>Scheinbare Sternzeit ϑ</t>
    </r>
    <r>
      <rPr>
        <vertAlign val="subscript"/>
        <sz val="9"/>
        <rFont val="Arial Narrow"/>
        <family val="2"/>
      </rPr>
      <t>app</t>
    </r>
    <r>
      <rPr>
        <sz val="9"/>
        <rFont val="Arial Narrow"/>
        <family val="2"/>
      </rPr>
      <t xml:space="preserve"> um 0h</t>
    </r>
  </si>
  <si>
    <t>geogr. Länge λ [ °,' " ]</t>
  </si>
  <si>
    <r>
      <rPr>
        <sz val="9"/>
        <rFont val="Arial Unicode MS"/>
        <family val="2"/>
      </rPr>
      <t>©</t>
    </r>
    <r>
      <rPr>
        <sz val="8.5500000000000007"/>
        <rFont val="Arial Black"/>
        <family val="2"/>
      </rPr>
      <t xml:space="preserve"> Dipl. - Ing. Holger Filling, Lindenstraße 66, 58566 Kierspe</t>
    </r>
  </si>
  <si>
    <r>
      <rPr>
        <sz val="9"/>
        <color theme="1"/>
        <rFont val="Arial Unicode MS"/>
        <family val="2"/>
      </rPr>
      <t>☌</t>
    </r>
    <r>
      <rPr>
        <sz val="9"/>
        <color theme="1"/>
        <rFont val="Arial Narrow"/>
        <family val="2"/>
      </rPr>
      <t xml:space="preserve"> von ☾ und ✶ in α um [h] </t>
    </r>
  </si>
  <si>
    <t>Leipzig</t>
  </si>
  <si>
    <t>Name des Sterns</t>
  </si>
  <si>
    <t>Startepoche nach:</t>
  </si>
  <si>
    <t xml:space="preserve">    D a t u m   d e r   S t e r n b e d e c k u n g   =   Z i e l e p o c h e</t>
  </si>
  <si>
    <t>Jahr der Startpoche</t>
  </si>
  <si>
    <t>μα [ s ] / Jahr</t>
  </si>
  <si>
    <t>μδ [ " ] / Jahr</t>
  </si>
  <si>
    <t>geogr. Länge λ [ °,' "" ]</t>
  </si>
  <si>
    <r>
      <rPr>
        <sz val="9"/>
        <rFont val="Arial Narrow"/>
        <family val="2"/>
      </rPr>
      <t xml:space="preserve"> </t>
    </r>
    <r>
      <rPr>
        <b/>
        <sz val="9"/>
        <rFont val="Arial"/>
        <family val="2"/>
      </rPr>
      <t>B</t>
    </r>
    <r>
      <rPr>
        <sz val="9"/>
        <rFont val="Arial Narrow"/>
        <family val="2"/>
      </rPr>
      <t>essel</t>
    </r>
    <r>
      <rPr>
        <sz val="9"/>
        <rFont val="Arial Unicode MS"/>
        <family val="2"/>
      </rPr>
      <t xml:space="preserve"> = 1; </t>
    </r>
    <r>
      <rPr>
        <b/>
        <sz val="9"/>
        <rFont val="Arial Unicode MS"/>
        <family val="2"/>
      </rPr>
      <t>J</t>
    </r>
    <r>
      <rPr>
        <sz val="9"/>
        <rFont val="Arial Narrow"/>
        <family val="2"/>
      </rPr>
      <t>ulianisch</t>
    </r>
    <r>
      <rPr>
        <sz val="9"/>
        <rFont val="Arial Unicode MS"/>
        <family val="2"/>
      </rPr>
      <t xml:space="preserve"> = 0</t>
    </r>
  </si>
  <si>
    <t>l ' [RAD]</t>
  </si>
  <si>
    <t>☊ [RAD]</t>
  </si>
  <si>
    <t>ΔΨ [ " ]</t>
  </si>
  <si>
    <t>Δε [ " ]</t>
  </si>
  <si>
    <r>
      <t>ε</t>
    </r>
    <r>
      <rPr>
        <vertAlign val="subscript"/>
        <sz val="9"/>
        <rFont val="Arial Unicode MS"/>
        <family val="2"/>
      </rPr>
      <t>0</t>
    </r>
    <r>
      <rPr>
        <sz val="9"/>
        <rFont val="Arial Unicode MS"/>
        <family val="2"/>
      </rPr>
      <t xml:space="preserve"> [RAD]</t>
    </r>
  </si>
  <si>
    <r>
      <rPr>
        <sz val="9"/>
        <color indexed="9"/>
        <rFont val="Arial Unicode MS"/>
        <family val="2"/>
      </rPr>
      <t>θ</t>
    </r>
    <r>
      <rPr>
        <vertAlign val="subscript"/>
        <sz val="9"/>
        <color indexed="9"/>
        <rFont val="Arial Unicode MS"/>
        <family val="2"/>
      </rPr>
      <t xml:space="preserve">0 </t>
    </r>
    <r>
      <rPr>
        <sz val="9"/>
        <color indexed="9"/>
        <rFont val="Arial Unicode MS"/>
        <family val="2"/>
      </rPr>
      <t>[RAD]</t>
    </r>
    <r>
      <rPr>
        <vertAlign val="subscript"/>
        <sz val="9"/>
        <color indexed="9"/>
        <rFont val="Arial Unicode MS"/>
        <family val="2"/>
      </rPr>
      <t xml:space="preserve">    </t>
    </r>
  </si>
  <si>
    <r>
      <rPr>
        <sz val="9"/>
        <color indexed="9"/>
        <rFont val="Arial Unicode MS"/>
        <family val="2"/>
      </rPr>
      <t>θ</t>
    </r>
    <r>
      <rPr>
        <vertAlign val="subscript"/>
        <sz val="9"/>
        <color indexed="9"/>
        <rFont val="Arial Unicode MS"/>
        <family val="2"/>
      </rPr>
      <t xml:space="preserve">app </t>
    </r>
    <r>
      <rPr>
        <sz val="9"/>
        <color indexed="9"/>
        <rFont val="Arial Unicode MS"/>
        <family val="2"/>
      </rPr>
      <t>[RAD]</t>
    </r>
    <r>
      <rPr>
        <vertAlign val="subscript"/>
        <sz val="9"/>
        <color indexed="9"/>
        <rFont val="Arial Unicode MS"/>
        <family val="2"/>
      </rPr>
      <t xml:space="preserve">    </t>
    </r>
  </si>
  <si>
    <t>M [RAD]</t>
  </si>
  <si>
    <t>M ' [RAD]</t>
  </si>
  <si>
    <t>L' [RAD]</t>
  </si>
  <si>
    <r>
      <t>A</t>
    </r>
    <r>
      <rPr>
        <vertAlign val="subscript"/>
        <sz val="9"/>
        <rFont val="Arial Unicode MS"/>
        <family val="2"/>
      </rPr>
      <t>1</t>
    </r>
    <r>
      <rPr>
        <sz val="9"/>
        <rFont val="Arial Unicode MS"/>
        <family val="2"/>
      </rPr>
      <t xml:space="preserve"> [RAD]</t>
    </r>
  </si>
  <si>
    <r>
      <t>λ</t>
    </r>
    <r>
      <rPr>
        <vertAlign val="subscript"/>
        <sz val="9"/>
        <rFont val="Arial Unicode MS"/>
        <family val="2"/>
      </rPr>
      <t>☾app</t>
    </r>
    <r>
      <rPr>
        <sz val="9"/>
        <rFont val="Arial Unicode MS"/>
        <family val="2"/>
      </rPr>
      <t xml:space="preserve"> [RAD]</t>
    </r>
  </si>
  <si>
    <r>
      <t>β</t>
    </r>
    <r>
      <rPr>
        <vertAlign val="subscript"/>
        <sz val="9"/>
        <rFont val="Arial Unicode MS"/>
        <family val="2"/>
      </rPr>
      <t>☾app</t>
    </r>
    <r>
      <rPr>
        <sz val="9"/>
        <rFont val="Arial Unicode MS"/>
        <family val="2"/>
      </rPr>
      <t xml:space="preserve"> [RAD]</t>
    </r>
  </si>
  <si>
    <r>
      <t>Δ</t>
    </r>
    <r>
      <rPr>
        <vertAlign val="subscript"/>
        <sz val="9"/>
        <rFont val="Arial Unicode MS"/>
        <family val="2"/>
      </rPr>
      <t>☾</t>
    </r>
    <r>
      <rPr>
        <sz val="9"/>
        <rFont val="Arial Unicode MS"/>
        <family val="2"/>
      </rPr>
      <t xml:space="preserve"> [km]</t>
    </r>
  </si>
  <si>
    <r>
      <t>α</t>
    </r>
    <r>
      <rPr>
        <vertAlign val="subscript"/>
        <sz val="9"/>
        <rFont val="Arial Unicode MS"/>
        <family val="2"/>
      </rPr>
      <t>☾app</t>
    </r>
    <r>
      <rPr>
        <sz val="9"/>
        <rFont val="Arial Unicode MS"/>
        <family val="2"/>
      </rPr>
      <t xml:space="preserve"> [RAD]</t>
    </r>
  </si>
  <si>
    <r>
      <t>δ</t>
    </r>
    <r>
      <rPr>
        <vertAlign val="subscript"/>
        <sz val="9"/>
        <rFont val="Arial Unicode MS"/>
        <family val="2"/>
      </rPr>
      <t>☾app</t>
    </r>
    <r>
      <rPr>
        <sz val="9"/>
        <rFont val="Arial Unicode MS"/>
        <family val="2"/>
      </rPr>
      <t xml:space="preserve"> [RAD]</t>
    </r>
  </si>
  <si>
    <r>
      <t>π</t>
    </r>
    <r>
      <rPr>
        <vertAlign val="subscript"/>
        <sz val="9"/>
        <rFont val="Arial Unicode MS"/>
        <family val="2"/>
      </rPr>
      <t>☾</t>
    </r>
    <r>
      <rPr>
        <sz val="9"/>
        <rFont val="Arial Unicode MS"/>
        <family val="2"/>
      </rPr>
      <t xml:space="preserve"> [RAD]</t>
    </r>
  </si>
  <si>
    <r>
      <t xml:space="preserve"> λ</t>
    </r>
    <r>
      <rPr>
        <vertAlign val="subscript"/>
        <sz val="9"/>
        <rFont val="Arial Unicode MS"/>
        <family val="2"/>
      </rPr>
      <t xml:space="preserve">B </t>
    </r>
    <r>
      <rPr>
        <sz val="9"/>
        <rFont val="Arial Unicode MS"/>
        <family val="2"/>
      </rPr>
      <t>[RAD]</t>
    </r>
  </si>
  <si>
    <r>
      <t>λ'</t>
    </r>
    <r>
      <rPr>
        <vertAlign val="subscript"/>
        <sz val="9"/>
        <rFont val="Arial Unicode MS"/>
        <family val="2"/>
      </rPr>
      <t>☉app</t>
    </r>
    <r>
      <rPr>
        <sz val="9"/>
        <rFont val="Arial Unicode MS"/>
        <family val="2"/>
      </rPr>
      <t>[RAD]</t>
    </r>
  </si>
  <si>
    <t>☉ [RAD]</t>
  </si>
  <si>
    <r>
      <t>φ</t>
    </r>
    <r>
      <rPr>
        <vertAlign val="subscript"/>
        <sz val="9"/>
        <rFont val="Arial Unicode MS"/>
        <family val="2"/>
      </rPr>
      <t xml:space="preserve">B </t>
    </r>
    <r>
      <rPr>
        <sz val="9"/>
        <rFont val="Arial Unicode MS"/>
        <family val="2"/>
      </rPr>
      <t>[RAD]</t>
    </r>
  </si>
  <si>
    <r>
      <t>H</t>
    </r>
    <r>
      <rPr>
        <vertAlign val="subscript"/>
        <sz val="9"/>
        <rFont val="Arial Unicode MS"/>
        <family val="2"/>
      </rPr>
      <t xml:space="preserve"> </t>
    </r>
    <r>
      <rPr>
        <sz val="9"/>
        <rFont val="Arial Unicode MS"/>
        <family val="2"/>
      </rPr>
      <t>[RAD]</t>
    </r>
  </si>
  <si>
    <r>
      <t>λ</t>
    </r>
    <r>
      <rPr>
        <vertAlign val="subscript"/>
        <sz val="9"/>
        <rFont val="Arial Unicode MS"/>
        <family val="2"/>
      </rPr>
      <t>☉app</t>
    </r>
    <r>
      <rPr>
        <sz val="9"/>
        <rFont val="Arial Unicode MS"/>
        <family val="2"/>
      </rPr>
      <t xml:space="preserve"> [RAD]</t>
    </r>
  </si>
  <si>
    <r>
      <t>β</t>
    </r>
    <r>
      <rPr>
        <vertAlign val="subscript"/>
        <sz val="9"/>
        <rFont val="Arial Unicode MS"/>
        <family val="2"/>
      </rPr>
      <t>☉app</t>
    </r>
    <r>
      <rPr>
        <sz val="9"/>
        <rFont val="Arial Unicode MS"/>
        <family val="2"/>
      </rPr>
      <t xml:space="preserve"> [RAD]</t>
    </r>
  </si>
  <si>
    <r>
      <t>SD</t>
    </r>
    <r>
      <rPr>
        <vertAlign val="subscript"/>
        <sz val="9"/>
        <rFont val="Arial Unicode MS"/>
        <family val="2"/>
      </rPr>
      <t>☉</t>
    </r>
    <r>
      <rPr>
        <sz val="9"/>
        <rFont val="Arial Unicode MS"/>
        <family val="2"/>
      </rPr>
      <t xml:space="preserve"> [RAD]</t>
    </r>
  </si>
  <si>
    <r>
      <t>α</t>
    </r>
    <r>
      <rPr>
        <vertAlign val="subscript"/>
        <sz val="9"/>
        <rFont val="Arial Unicode MS"/>
        <family val="2"/>
      </rPr>
      <t>☉app</t>
    </r>
    <r>
      <rPr>
        <sz val="9"/>
        <rFont val="Arial Unicode MS"/>
        <family val="2"/>
      </rPr>
      <t xml:space="preserve"> [RAD]</t>
    </r>
  </si>
  <si>
    <r>
      <t>δ</t>
    </r>
    <r>
      <rPr>
        <vertAlign val="subscript"/>
        <sz val="9"/>
        <rFont val="Arial Unicode MS"/>
        <family val="2"/>
      </rPr>
      <t xml:space="preserve">☉app </t>
    </r>
    <r>
      <rPr>
        <sz val="9"/>
        <rFont val="Arial Unicode MS"/>
        <family val="2"/>
      </rPr>
      <t>[RAD]</t>
    </r>
  </si>
  <si>
    <r>
      <t>π</t>
    </r>
    <r>
      <rPr>
        <vertAlign val="subscript"/>
        <sz val="9"/>
        <rFont val="Arial Unicode MS"/>
        <family val="2"/>
      </rPr>
      <t>☉</t>
    </r>
    <r>
      <rPr>
        <sz val="9"/>
        <rFont val="Arial Unicode MS"/>
        <family val="2"/>
      </rPr>
      <t xml:space="preserve"> [RAD]</t>
    </r>
  </si>
  <si>
    <r>
      <t>H '</t>
    </r>
    <r>
      <rPr>
        <vertAlign val="subscript"/>
        <sz val="9"/>
        <rFont val="Arial Unicode MS"/>
        <family val="2"/>
      </rPr>
      <t xml:space="preserve"> </t>
    </r>
    <r>
      <rPr>
        <sz val="9"/>
        <rFont val="Arial Unicode MS"/>
        <family val="2"/>
      </rPr>
      <t>[RAD]</t>
    </r>
  </si>
  <si>
    <r>
      <t>α'</t>
    </r>
    <r>
      <rPr>
        <vertAlign val="subscript"/>
        <sz val="9"/>
        <rFont val="Arial Unicode MS"/>
        <family val="2"/>
      </rPr>
      <t>☾app</t>
    </r>
    <r>
      <rPr>
        <sz val="9"/>
        <rFont val="Arial Unicode MS"/>
        <family val="2"/>
      </rPr>
      <t xml:space="preserve"> [RAD]</t>
    </r>
  </si>
  <si>
    <r>
      <t>δ'</t>
    </r>
    <r>
      <rPr>
        <vertAlign val="subscript"/>
        <sz val="9"/>
        <rFont val="Arial Unicode MS"/>
        <family val="2"/>
      </rPr>
      <t>☾app</t>
    </r>
    <r>
      <rPr>
        <sz val="9"/>
        <rFont val="Arial Unicode MS"/>
        <family val="2"/>
      </rPr>
      <t xml:space="preserve"> [RAD]</t>
    </r>
  </si>
  <si>
    <t>Berechnung der, der geozentrischen Konjunktion von Mond und Stern, am nächstgelegenen Stunde T1 (TDT)</t>
  </si>
  <si>
    <r>
      <t>AZ</t>
    </r>
    <r>
      <rPr>
        <vertAlign val="subscript"/>
        <sz val="9"/>
        <rFont val="Arial Unicode MS"/>
        <family val="2"/>
      </rPr>
      <t xml:space="preserve">☾ </t>
    </r>
    <r>
      <rPr>
        <sz val="9"/>
        <rFont val="Arial Unicode MS"/>
        <family val="2"/>
      </rPr>
      <t xml:space="preserve"> [ ° ]</t>
    </r>
  </si>
  <si>
    <r>
      <t>h</t>
    </r>
    <r>
      <rPr>
        <vertAlign val="subscript"/>
        <sz val="9"/>
        <rFont val="Arial Unicode MS"/>
        <family val="2"/>
      </rPr>
      <t>☾</t>
    </r>
    <r>
      <rPr>
        <sz val="9"/>
        <rFont val="Arial Unicode MS"/>
        <family val="2"/>
      </rPr>
      <t xml:space="preserve"> </t>
    </r>
    <r>
      <rPr>
        <vertAlign val="subscript"/>
        <sz val="9"/>
        <rFont val="Arial Unicode MS"/>
        <family val="2"/>
      </rPr>
      <t xml:space="preserve"> </t>
    </r>
    <r>
      <rPr>
        <sz val="9"/>
        <rFont val="Arial Unicode MS"/>
        <family val="2"/>
      </rPr>
      <t>[ ° ]</t>
    </r>
  </si>
  <si>
    <t xml:space="preserve">                 D i e   B e r e c h n u n g   v o n   S t e r n b e d e c k u n g e n   d u r c h    d e n   M o n d</t>
  </si>
  <si>
    <t>ΔΨ [RAD ]</t>
  </si>
  <si>
    <r>
      <t>λ</t>
    </r>
    <r>
      <rPr>
        <vertAlign val="subscript"/>
        <sz val="9"/>
        <color theme="1"/>
        <rFont val="Arial Unicode MS"/>
        <family val="2"/>
      </rPr>
      <t>☾</t>
    </r>
    <r>
      <rPr>
        <sz val="9"/>
        <color theme="1"/>
        <rFont val="Arial Unicode MS"/>
        <family val="2"/>
      </rPr>
      <t xml:space="preserve"> [RAD]</t>
    </r>
  </si>
  <si>
    <r>
      <t>β</t>
    </r>
    <r>
      <rPr>
        <vertAlign val="subscript"/>
        <sz val="9"/>
        <color theme="1"/>
        <rFont val="Arial Unicode MS"/>
        <family val="2"/>
      </rPr>
      <t>☾</t>
    </r>
    <r>
      <rPr>
        <sz val="9"/>
        <color theme="1"/>
        <rFont val="Arial Unicode MS"/>
        <family val="2"/>
      </rPr>
      <t xml:space="preserve"> [RAD]</t>
    </r>
  </si>
  <si>
    <r>
      <t>π</t>
    </r>
    <r>
      <rPr>
        <vertAlign val="subscript"/>
        <sz val="9"/>
        <color theme="1"/>
        <rFont val="Arial Unicode MS"/>
        <family val="2"/>
      </rPr>
      <t>☾</t>
    </r>
    <r>
      <rPr>
        <sz val="9"/>
        <color theme="1"/>
        <rFont val="Arial Unicode MS"/>
        <family val="2"/>
      </rPr>
      <t xml:space="preserve"> [RAD]</t>
    </r>
  </si>
  <si>
    <r>
      <t>SD</t>
    </r>
    <r>
      <rPr>
        <vertAlign val="subscript"/>
        <sz val="9"/>
        <color theme="1"/>
        <rFont val="Arial Unicode MS"/>
        <family val="2"/>
      </rPr>
      <t>☾</t>
    </r>
    <r>
      <rPr>
        <sz val="9"/>
        <color theme="1"/>
        <rFont val="Arial Unicode MS"/>
        <family val="2"/>
      </rPr>
      <t xml:space="preserve"> [RAD]</t>
    </r>
  </si>
  <si>
    <r>
      <t>α</t>
    </r>
    <r>
      <rPr>
        <vertAlign val="subscript"/>
        <sz val="9"/>
        <color theme="1"/>
        <rFont val="Arial Unicode MS"/>
        <family val="2"/>
      </rPr>
      <t>☾</t>
    </r>
    <r>
      <rPr>
        <sz val="9"/>
        <color theme="1"/>
        <rFont val="Arial Unicode MS"/>
        <family val="2"/>
      </rPr>
      <t xml:space="preserve"> [RAD]</t>
    </r>
  </si>
  <si>
    <r>
      <t>δ</t>
    </r>
    <r>
      <rPr>
        <vertAlign val="subscript"/>
        <sz val="9"/>
        <color theme="1"/>
        <rFont val="Arial Unicode MS"/>
        <family val="2"/>
      </rPr>
      <t>☾</t>
    </r>
    <r>
      <rPr>
        <sz val="9"/>
        <color theme="1"/>
        <rFont val="Arial Unicode MS"/>
        <family val="2"/>
      </rPr>
      <t xml:space="preserve"> [RAD]</t>
    </r>
  </si>
  <si>
    <r>
      <t>λ</t>
    </r>
    <r>
      <rPr>
        <vertAlign val="subscript"/>
        <sz val="9"/>
        <color theme="1"/>
        <rFont val="Arial Unicode MS"/>
        <family val="2"/>
      </rPr>
      <t>☾</t>
    </r>
    <r>
      <rPr>
        <sz val="9"/>
        <color theme="1"/>
        <rFont val="Arial Unicode MS"/>
        <family val="2"/>
      </rPr>
      <t xml:space="preserve"> [ ° ]</t>
    </r>
  </si>
  <si>
    <r>
      <t>β</t>
    </r>
    <r>
      <rPr>
        <vertAlign val="subscript"/>
        <sz val="9"/>
        <color theme="1"/>
        <rFont val="Arial Unicode MS"/>
        <family val="2"/>
      </rPr>
      <t>☾</t>
    </r>
    <r>
      <rPr>
        <sz val="9"/>
        <color theme="1"/>
        <rFont val="Arial Unicode MS"/>
        <family val="2"/>
      </rPr>
      <t xml:space="preserve"> [ ° ]</t>
    </r>
  </si>
  <si>
    <r>
      <t>α</t>
    </r>
    <r>
      <rPr>
        <vertAlign val="subscript"/>
        <sz val="9"/>
        <rFont val="Arial Unicode MS"/>
        <family val="2"/>
      </rPr>
      <t>app</t>
    </r>
    <r>
      <rPr>
        <sz val="9"/>
        <rFont val="Arial Unicode MS"/>
        <family val="2"/>
      </rPr>
      <t xml:space="preserve"> [ h ]</t>
    </r>
  </si>
  <si>
    <r>
      <t>δ</t>
    </r>
    <r>
      <rPr>
        <vertAlign val="subscript"/>
        <sz val="9"/>
        <rFont val="Arial Unicode MS"/>
        <family val="2"/>
      </rPr>
      <t>app</t>
    </r>
    <r>
      <rPr>
        <sz val="9"/>
        <rFont val="Arial Unicode MS"/>
        <family val="2"/>
      </rPr>
      <t xml:space="preserve"> [ ° ]</t>
    </r>
  </si>
  <si>
    <t>Eintritt  Iteration</t>
  </si>
  <si>
    <t>Austritt  Iteration</t>
  </si>
  <si>
    <t>Eintritt ☾</t>
  </si>
  <si>
    <t>Eintritt ☉</t>
  </si>
  <si>
    <t>L ' [RAD]</t>
  </si>
  <si>
    <t>M [RAd]</t>
  </si>
  <si>
    <t xml:space="preserve">Δε [ " ] </t>
  </si>
  <si>
    <t>D RAD]</t>
  </si>
  <si>
    <t>. / .</t>
  </si>
  <si>
    <r>
      <t xml:space="preserve">angewendete Mondtheorie? Brown = </t>
    </r>
    <r>
      <rPr>
        <sz val="9"/>
        <rFont val="Arial Black"/>
        <family val="2"/>
      </rPr>
      <t>1</t>
    </r>
    <r>
      <rPr>
        <sz val="9"/>
        <rFont val="Arial Narrow"/>
        <family val="2"/>
      </rPr>
      <t xml:space="preserve">, ELP 2000/82 = </t>
    </r>
    <r>
      <rPr>
        <sz val="9"/>
        <rFont val="Arial Black"/>
        <family val="2"/>
      </rPr>
      <t>2</t>
    </r>
    <r>
      <rPr>
        <sz val="9"/>
        <rFont val="Arial Narrow"/>
        <family val="2"/>
      </rPr>
      <t xml:space="preserve">, gemittelt = </t>
    </r>
    <r>
      <rPr>
        <sz val="9"/>
        <rFont val="Arial Black"/>
        <family val="2"/>
      </rPr>
      <t>3</t>
    </r>
  </si>
  <si>
    <t xml:space="preserve"> </t>
  </si>
  <si>
    <t>Aldebaran</t>
  </si>
  <si>
    <t xml:space="preserve">             E R G E B N I S S E :</t>
  </si>
  <si>
    <r>
      <t xml:space="preserve">D A T E N E I N G A B E  =  </t>
    </r>
    <r>
      <rPr>
        <sz val="9"/>
        <color theme="1"/>
        <rFont val="Arial Unicode MS"/>
        <family val="2"/>
      </rPr>
      <t>➨</t>
    </r>
    <r>
      <rPr>
        <sz val="9"/>
        <color theme="1"/>
        <rFont val="Arial Black"/>
        <family val="2"/>
      </rPr>
      <t xml:space="preserve">   ( f e t t   g e d r u c k t ) :</t>
    </r>
  </si>
  <si>
    <r>
      <t>α</t>
    </r>
    <r>
      <rPr>
        <vertAlign val="subscript"/>
        <sz val="9"/>
        <color theme="1"/>
        <rFont val="Arial Unicode MS"/>
        <family val="2"/>
      </rPr>
      <t>☾</t>
    </r>
    <r>
      <rPr>
        <sz val="9"/>
        <color theme="1"/>
        <rFont val="Arial Unicode MS"/>
        <family val="2"/>
      </rPr>
      <t xml:space="preserve">   </t>
    </r>
    <r>
      <rPr>
        <sz val="9"/>
        <color theme="1"/>
        <rFont val="Arial Unicode MS"/>
        <family val="2"/>
        <charset val="128"/>
      </rPr>
      <t>̶ α</t>
    </r>
    <r>
      <rPr>
        <vertAlign val="subscript"/>
        <sz val="9"/>
        <color theme="1"/>
        <rFont val="Arial Unicode MS"/>
        <family val="2"/>
      </rPr>
      <t>✶</t>
    </r>
    <r>
      <rPr>
        <sz val="9"/>
        <color theme="1"/>
        <rFont val="Arial Unicode MS"/>
        <family val="2"/>
        <charset val="128"/>
      </rPr>
      <t xml:space="preserve"> h</t>
    </r>
  </si>
  <si>
    <r>
      <rPr>
        <sz val="9"/>
        <color theme="1"/>
        <rFont val="Arial Narrow"/>
        <family val="2"/>
      </rPr>
      <t>Suche nach</t>
    </r>
    <r>
      <rPr>
        <sz val="9"/>
        <color theme="1"/>
        <rFont val="Arial Unicode MS"/>
        <family val="2"/>
      </rPr>
      <t xml:space="preserve"> T1</t>
    </r>
  </si>
  <si>
    <r>
      <t>α</t>
    </r>
    <r>
      <rPr>
        <vertAlign val="subscript"/>
        <sz val="9"/>
        <color theme="1"/>
        <rFont val="Arial Unicode MS"/>
        <family val="2"/>
      </rPr>
      <t>☾</t>
    </r>
    <r>
      <rPr>
        <sz val="9"/>
        <color theme="1"/>
        <rFont val="Arial Unicode MS"/>
        <family val="2"/>
      </rPr>
      <t xml:space="preserve">   </t>
    </r>
    <r>
      <rPr>
        <sz val="9"/>
        <color theme="1"/>
        <rFont val="Arial Unicode MS"/>
        <family val="2"/>
        <charset val="128"/>
      </rPr>
      <t>̶ α</t>
    </r>
    <r>
      <rPr>
        <vertAlign val="subscript"/>
        <sz val="9"/>
        <color theme="1"/>
        <rFont val="Arial Unicode MS"/>
        <family val="2"/>
      </rPr>
      <t>✶</t>
    </r>
    <r>
      <rPr>
        <sz val="9"/>
        <color theme="1"/>
        <rFont val="Arial Unicode MS"/>
        <family val="2"/>
        <charset val="128"/>
      </rPr>
      <t xml:space="preserve"> h &gt; 0</t>
    </r>
  </si>
  <si>
    <r>
      <t>α</t>
    </r>
    <r>
      <rPr>
        <vertAlign val="subscript"/>
        <sz val="9"/>
        <color theme="1"/>
        <rFont val="Arial Unicode MS"/>
        <family val="2"/>
      </rPr>
      <t>☾</t>
    </r>
    <r>
      <rPr>
        <sz val="9"/>
        <color theme="1"/>
        <rFont val="Arial Unicode MS"/>
        <family val="2"/>
      </rPr>
      <t xml:space="preserve">   </t>
    </r>
    <r>
      <rPr>
        <sz val="9"/>
        <color theme="1"/>
        <rFont val="Arial Unicode MS"/>
        <family val="2"/>
        <charset val="128"/>
      </rPr>
      <t>̶ α</t>
    </r>
    <r>
      <rPr>
        <vertAlign val="subscript"/>
        <sz val="9"/>
        <color theme="1"/>
        <rFont val="Arial Unicode MS"/>
        <family val="2"/>
      </rPr>
      <t>✶</t>
    </r>
    <r>
      <rPr>
        <sz val="9"/>
        <color theme="1"/>
        <rFont val="Arial Unicode MS"/>
        <family val="2"/>
        <charset val="128"/>
      </rPr>
      <t xml:space="preserve"> h &lt; 0</t>
    </r>
  </si>
  <si>
    <t>1 Tag früher</t>
  </si>
  <si>
    <t>1 Tag später</t>
  </si>
  <si>
    <t>Programm: Sternbedeckung     Version 1.2 10 / 2022</t>
  </si>
</sst>
</file>

<file path=xl/styles.xml><?xml version="1.0" encoding="utf-8"?>
<styleSheet xmlns="http://schemas.openxmlformats.org/spreadsheetml/2006/main">
  <numFmts count="10">
    <numFmt numFmtId="164" formatCode="0.00000"/>
    <numFmt numFmtId="165" formatCode="0.0000"/>
    <numFmt numFmtId="166" formatCode="0.000000000"/>
    <numFmt numFmtId="167" formatCode="0.00000000"/>
    <numFmt numFmtId="168" formatCode="0.000000"/>
    <numFmt numFmtId="169" formatCode="0.0"/>
    <numFmt numFmtId="170" formatCode="0.000"/>
    <numFmt numFmtId="171" formatCode="0.0000000"/>
    <numFmt numFmtId="172" formatCode="0.000000000000000"/>
    <numFmt numFmtId="173" formatCode="0.000000000000"/>
  </numFmts>
  <fonts count="27">
    <font>
      <sz val="11"/>
      <color theme="1"/>
      <name val="Calibri"/>
      <family val="2"/>
      <scheme val="minor"/>
    </font>
    <font>
      <sz val="12"/>
      <color theme="1"/>
      <name val="Arial Unicode MS"/>
      <family val="2"/>
    </font>
    <font>
      <sz val="9"/>
      <color theme="1"/>
      <name val="Arial Unicode MS"/>
      <family val="2"/>
    </font>
    <font>
      <sz val="9"/>
      <name val="Arial Unicode MS"/>
      <family val="2"/>
    </font>
    <font>
      <vertAlign val="subscript"/>
      <sz val="9"/>
      <name val="Arial Unicode MS"/>
      <family val="2"/>
    </font>
    <font>
      <vertAlign val="subscript"/>
      <sz val="9"/>
      <color theme="1"/>
      <name val="Arial Unicode MS"/>
      <family val="2"/>
    </font>
    <font>
      <b/>
      <sz val="9"/>
      <name val="Arial Unicode MS"/>
      <family val="2"/>
    </font>
    <font>
      <sz val="9"/>
      <name val="Arial"/>
      <family val="2"/>
    </font>
    <font>
      <sz val="9"/>
      <name val="Arial Narrow"/>
      <family val="2"/>
    </font>
    <font>
      <sz val="9"/>
      <name val="Arial Black"/>
      <family val="2"/>
    </font>
    <font>
      <vertAlign val="subscript"/>
      <sz val="9"/>
      <color indexed="9"/>
      <name val="Arial Unicode MS"/>
      <family val="2"/>
    </font>
    <font>
      <b/>
      <sz val="9"/>
      <name val="Arial Black"/>
      <family val="2"/>
    </font>
    <font>
      <sz val="9"/>
      <color theme="1"/>
      <name val="Arial Narrow"/>
      <family val="2"/>
    </font>
    <font>
      <sz val="9"/>
      <color theme="1"/>
      <name val="Arial Black"/>
      <family val="2"/>
    </font>
    <font>
      <sz val="10"/>
      <color theme="1"/>
      <name val="Arial Unicode MS"/>
      <family val="2"/>
    </font>
    <font>
      <sz val="9"/>
      <color theme="1"/>
      <name val="Calibri"/>
      <family val="2"/>
    </font>
    <font>
      <sz val="9"/>
      <color theme="1"/>
      <name val="Arial Unicode MS"/>
      <family val="2"/>
      <charset val="128"/>
    </font>
    <font>
      <sz val="9"/>
      <color theme="1"/>
      <name val="Times New Roman"/>
      <family val="1"/>
    </font>
    <font>
      <sz val="9"/>
      <color indexed="9"/>
      <name val="Arial Unicode MS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vertAlign val="subscript"/>
      <sz val="9"/>
      <name val="Arial Narrow"/>
      <family val="2"/>
    </font>
    <font>
      <sz val="9"/>
      <color theme="1"/>
      <name val="Arial"/>
      <family val="2"/>
    </font>
    <font>
      <sz val="8.5500000000000007"/>
      <name val="Arial Black"/>
      <family val="2"/>
    </font>
    <font>
      <b/>
      <sz val="9"/>
      <color theme="1"/>
      <name val="Arial Unicode MS"/>
      <family val="2"/>
    </font>
    <font>
      <b/>
      <sz val="9"/>
      <name val="Arial"/>
      <family val="2"/>
    </font>
    <font>
      <sz val="10"/>
      <color theme="1"/>
      <name val="Arial Black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6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169" fontId="3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170" fontId="6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169" fontId="2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70" fontId="12" fillId="0" borderId="0" xfId="0" applyNumberFormat="1" applyFont="1" applyAlignment="1">
      <alignment horizontal="center" vertical="center"/>
    </xf>
    <xf numFmtId="170" fontId="8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6" fontId="3" fillId="0" borderId="0" xfId="0" applyNumberFormat="1" applyFont="1" applyAlignment="1">
      <alignment horizontal="center" vertical="center"/>
    </xf>
    <xf numFmtId="167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8" fontId="3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" fontId="2" fillId="0" borderId="0" xfId="0" applyNumberFormat="1" applyFont="1"/>
    <xf numFmtId="0" fontId="8" fillId="0" borderId="0" xfId="0" applyFont="1" applyAlignment="1">
      <alignment vertical="center"/>
    </xf>
    <xf numFmtId="164" fontId="13" fillId="0" borderId="0" xfId="0" applyNumberFormat="1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8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67" fontId="2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171" fontId="2" fillId="0" borderId="0" xfId="0" applyNumberFormat="1" applyFont="1" applyAlignment="1">
      <alignment horizontal="center" vertical="center"/>
    </xf>
    <xf numFmtId="171" fontId="2" fillId="0" borderId="0" xfId="0" applyNumberFormat="1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73" fontId="3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1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168" fontId="19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0" fontId="20" fillId="0" borderId="0" xfId="0" applyFont="1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166" fontId="9" fillId="0" borderId="0" xfId="0" applyNumberFormat="1" applyFont="1" applyAlignment="1">
      <alignment horizontal="left" vertical="center"/>
    </xf>
    <xf numFmtId="0" fontId="22" fillId="0" borderId="0" xfId="0" applyFont="1" applyAlignment="1">
      <alignment horizontal="center"/>
    </xf>
    <xf numFmtId="164" fontId="24" fillId="0" borderId="0" xfId="0" applyNumberFormat="1" applyFont="1" applyAlignment="1">
      <alignment horizontal="center" vertical="center"/>
    </xf>
    <xf numFmtId="1" fontId="2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65" fontId="9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170" fontId="9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169" fontId="3" fillId="0" borderId="0" xfId="0" applyNumberFormat="1" applyFont="1" applyAlignment="1">
      <alignment horizontal="right" vertical="center"/>
    </xf>
    <xf numFmtId="0" fontId="0" fillId="0" borderId="0" xfId="0" applyNumberFormat="1"/>
    <xf numFmtId="164" fontId="6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0" fontId="26" fillId="0" borderId="0" xfId="0" applyFont="1" applyAlignment="1">
      <alignment vertical="center"/>
    </xf>
    <xf numFmtId="0" fontId="13" fillId="0" borderId="0" xfId="0" applyFont="1"/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168" fontId="3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horizontal="center"/>
    </xf>
    <xf numFmtId="0" fontId="8" fillId="0" borderId="0" xfId="0" applyFont="1" applyAlignment="1">
      <alignment horizontal="left" vertical="center"/>
    </xf>
    <xf numFmtId="0" fontId="11" fillId="0" borderId="0" xfId="0" applyNumberFormat="1" applyFont="1" applyAlignment="1">
      <alignment horizontal="left" vertical="center"/>
    </xf>
    <xf numFmtId="0" fontId="11" fillId="0" borderId="0" xfId="0" applyFont="1" applyAlignment="1">
      <alignment vertical="center"/>
    </xf>
    <xf numFmtId="170" fontId="3" fillId="0" borderId="0" xfId="0" applyNumberFormat="1" applyFont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FFFFFF"/>
      </a:dk1>
      <a:lt1>
        <a:sysClr val="window" lastClr="00000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408"/>
  <sheetViews>
    <sheetView tabSelected="1" zoomScale="95" zoomScaleNormal="95" workbookViewId="0">
      <selection activeCell="D8" sqref="D8"/>
    </sheetView>
  </sheetViews>
  <sheetFormatPr baseColWidth="10" defaultRowHeight="15"/>
  <cols>
    <col min="1" max="1" width="14.7109375" customWidth="1"/>
    <col min="2" max="2" width="18" customWidth="1"/>
    <col min="3" max="3" width="17" customWidth="1"/>
    <col min="4" max="4" width="15.7109375" customWidth="1"/>
    <col min="5" max="5" width="15.42578125" customWidth="1"/>
    <col min="6" max="6" width="12.5703125" customWidth="1"/>
    <col min="7" max="7" width="14.140625" customWidth="1"/>
    <col min="8" max="8" width="18.28515625" customWidth="1"/>
    <col min="9" max="9" width="21.42578125" customWidth="1"/>
    <col min="10" max="10" width="12.5703125" customWidth="1"/>
    <col min="11" max="11" width="13.7109375" customWidth="1"/>
    <col min="12" max="12" width="14.28515625" customWidth="1"/>
    <col min="13" max="13" width="13.140625" customWidth="1"/>
    <col min="14" max="14" width="12.5703125" customWidth="1"/>
    <col min="15" max="15" width="12.140625" customWidth="1"/>
    <col min="16" max="16" width="11.5703125" bestFit="1" customWidth="1"/>
    <col min="17" max="17" width="12.7109375" customWidth="1"/>
    <col min="18" max="18" width="12.42578125" customWidth="1"/>
    <col min="19" max="19" width="12.5703125" customWidth="1"/>
    <col min="20" max="20" width="19" customWidth="1"/>
    <col min="21" max="21" width="11.85546875" customWidth="1"/>
    <col min="22" max="22" width="12.140625" customWidth="1"/>
    <col min="23" max="23" width="10.28515625" customWidth="1"/>
    <col min="24" max="24" width="19.85546875" customWidth="1"/>
    <col min="25" max="25" width="13.42578125" customWidth="1"/>
    <col min="26" max="27" width="11.5703125" customWidth="1"/>
    <col min="28" max="28" width="12.7109375" customWidth="1"/>
    <col min="29" max="29" width="10.5703125" customWidth="1"/>
    <col min="30" max="30" width="12.42578125" customWidth="1"/>
    <col min="31" max="31" width="10.140625" customWidth="1"/>
    <col min="32" max="32" width="10.7109375" customWidth="1"/>
    <col min="33" max="33" width="10.5703125" customWidth="1"/>
    <col min="35" max="35" width="11.42578125" customWidth="1"/>
    <col min="36" max="36" width="15.5703125" customWidth="1"/>
    <col min="37" max="37" width="14.28515625" customWidth="1"/>
    <col min="38" max="38" width="16" customWidth="1"/>
    <col min="39" max="39" width="13.85546875" customWidth="1"/>
    <col min="40" max="40" width="12.85546875" customWidth="1"/>
    <col min="41" max="41" width="12.7109375" customWidth="1"/>
    <col min="42" max="42" width="11.140625" customWidth="1"/>
    <col min="43" max="43" width="10.28515625" customWidth="1"/>
  </cols>
  <sheetData>
    <row r="1" spans="1:81">
      <c r="A1" s="80"/>
      <c r="B1" s="80"/>
      <c r="C1" s="81"/>
      <c r="D1" s="81"/>
      <c r="E1" s="81"/>
      <c r="F1" s="81"/>
      <c r="G1" s="81"/>
      <c r="H1" s="81"/>
      <c r="I1" s="81"/>
    </row>
    <row r="2" spans="1:81" ht="15.75">
      <c r="A2" s="82"/>
      <c r="B2" s="98" t="s">
        <v>244</v>
      </c>
      <c r="C2" s="99"/>
      <c r="D2" s="81"/>
      <c r="E2" s="81"/>
      <c r="F2" s="81"/>
      <c r="G2" s="81"/>
      <c r="H2" s="81"/>
      <c r="I2" s="81"/>
      <c r="J2" s="94"/>
    </row>
    <row r="3" spans="1:81" ht="15.75">
      <c r="A3" s="82"/>
      <c r="B3" s="98"/>
      <c r="C3" s="99"/>
      <c r="D3" s="81"/>
      <c r="E3" s="81"/>
      <c r="F3" s="81"/>
      <c r="G3" s="81"/>
      <c r="H3" s="81"/>
      <c r="I3" s="81"/>
      <c r="J3" s="94"/>
    </row>
    <row r="4" spans="1:81" ht="15.75">
      <c r="A4" s="82"/>
      <c r="B4" s="82"/>
      <c r="C4" s="2"/>
      <c r="D4" s="83" t="s">
        <v>269</v>
      </c>
      <c r="E4" s="81"/>
      <c r="F4" s="83"/>
      <c r="G4" s="81"/>
      <c r="H4" s="81"/>
      <c r="I4" s="81"/>
    </row>
    <row r="5" spans="1:81">
      <c r="A5" s="22"/>
      <c r="B5" s="50" t="s">
        <v>204</v>
      </c>
      <c r="C5" s="24"/>
      <c r="D5" s="22"/>
      <c r="E5" s="25" t="s">
        <v>35</v>
      </c>
      <c r="F5" s="25" t="s">
        <v>36</v>
      </c>
      <c r="G5" s="25"/>
      <c r="H5" s="25" t="s">
        <v>37</v>
      </c>
      <c r="I5" s="22"/>
      <c r="J5" s="22"/>
      <c r="K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</row>
    <row r="6" spans="1:81">
      <c r="A6" s="27"/>
      <c r="B6" s="24" t="s">
        <v>38</v>
      </c>
      <c r="C6" s="24" t="s">
        <v>39</v>
      </c>
      <c r="D6" s="24" t="s">
        <v>40</v>
      </c>
      <c r="E6" s="25" t="s">
        <v>41</v>
      </c>
      <c r="F6" s="25" t="s">
        <v>42</v>
      </c>
      <c r="G6" s="25" t="s">
        <v>195</v>
      </c>
      <c r="H6" s="25" t="str">
        <f>IF(F7=0,"geschätztes","bekanntes")&amp;" ΔT [s] "</f>
        <v xml:space="preserve">bekanntes ΔT [s] 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4"/>
      <c r="AT6" s="4"/>
      <c r="AU6" s="4"/>
      <c r="AV6" s="4"/>
      <c r="AW6" s="4"/>
      <c r="AX6" s="4"/>
      <c r="AY6" s="4"/>
      <c r="AZ6" s="4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</row>
    <row r="7" spans="1:81">
      <c r="A7" s="28" t="s">
        <v>43</v>
      </c>
      <c r="B7" s="29">
        <v>2023</v>
      </c>
      <c r="C7" s="29">
        <v>10</v>
      </c>
      <c r="D7" s="29">
        <v>18</v>
      </c>
      <c r="E7" s="29">
        <v>1</v>
      </c>
      <c r="F7" s="29">
        <v>1</v>
      </c>
      <c r="G7" s="29">
        <v>70</v>
      </c>
      <c r="H7" s="30">
        <f>IF(F7=1,G7,Q34)</f>
        <v>70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4"/>
      <c r="AT7" s="4"/>
      <c r="AU7" s="4"/>
      <c r="AV7" s="4"/>
      <c r="AW7" s="4"/>
      <c r="AX7" s="4"/>
      <c r="AY7" s="4"/>
      <c r="AZ7" s="4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</row>
    <row r="8" spans="1:81">
      <c r="A8" s="28" t="s">
        <v>203</v>
      </c>
      <c r="B8" s="93" t="s">
        <v>209</v>
      </c>
      <c r="C8" s="24" t="s">
        <v>205</v>
      </c>
      <c r="D8" s="24" t="s">
        <v>202</v>
      </c>
      <c r="E8" s="24" t="str">
        <f>"α "&amp;IF(B9=0,"J","B")&amp;C9&amp;".0 [ h,m s ]"</f>
        <v>α J2000.0 [ h,m s ]</v>
      </c>
      <c r="F8" s="24" t="str">
        <f>"δ "&amp;IF(B9=0,"J","B")&amp;C9&amp;".0 [ °,' "" ]"</f>
        <v>δ J2000.0 [ °,' " ]</v>
      </c>
      <c r="G8" s="24" t="s">
        <v>206</v>
      </c>
      <c r="H8" s="24" t="s">
        <v>207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4"/>
      <c r="AT8" s="4"/>
      <c r="AU8" s="4"/>
      <c r="AV8" s="4"/>
      <c r="AW8" s="4"/>
      <c r="AX8" s="4"/>
      <c r="AY8" s="4"/>
      <c r="AZ8" s="4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</row>
    <row r="9" spans="1:81">
      <c r="A9" s="28" t="s">
        <v>43</v>
      </c>
      <c r="B9" s="29">
        <v>0</v>
      </c>
      <c r="C9" s="29">
        <v>2000</v>
      </c>
      <c r="D9" s="29" t="s">
        <v>267</v>
      </c>
      <c r="E9" s="90">
        <v>16.292449999999999</v>
      </c>
      <c r="F9" s="89">
        <v>-26.255500000000001</v>
      </c>
      <c r="G9" s="91">
        <v>-1E-3</v>
      </c>
      <c r="H9" s="92">
        <v>-0.02</v>
      </c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4"/>
      <c r="AT9" s="4"/>
      <c r="AU9" s="4"/>
      <c r="AV9" s="4"/>
      <c r="AW9" s="4"/>
      <c r="AX9" s="4"/>
      <c r="AY9" s="4"/>
      <c r="AZ9" s="4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</row>
    <row r="10" spans="1:81">
      <c r="A10" s="28"/>
      <c r="B10" s="25" t="s">
        <v>141</v>
      </c>
      <c r="C10" s="25" t="s">
        <v>198</v>
      </c>
      <c r="D10" s="25" t="s">
        <v>194</v>
      </c>
      <c r="E10" s="25" t="s">
        <v>142</v>
      </c>
      <c r="F10" s="105" t="s">
        <v>265</v>
      </c>
      <c r="G10" s="26"/>
      <c r="H10" s="26"/>
      <c r="I10" s="54"/>
      <c r="J10" s="54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4"/>
      <c r="AT10" s="4"/>
      <c r="AU10" s="4"/>
      <c r="AV10" s="4"/>
      <c r="AW10" s="4"/>
      <c r="AX10" s="4"/>
      <c r="AY10" s="4"/>
      <c r="AZ10" s="4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</row>
    <row r="11" spans="1:81">
      <c r="A11" s="28" t="s">
        <v>43</v>
      </c>
      <c r="B11" s="57" t="s">
        <v>201</v>
      </c>
      <c r="C11" s="55">
        <v>-12.24</v>
      </c>
      <c r="D11" s="55">
        <v>51.18</v>
      </c>
      <c r="E11" s="56">
        <v>130</v>
      </c>
      <c r="F11" s="29" t="s">
        <v>264</v>
      </c>
      <c r="G11" s="29">
        <v>1</v>
      </c>
      <c r="H11" s="29" t="s">
        <v>264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4"/>
      <c r="AT11" s="4"/>
      <c r="AU11" s="4"/>
      <c r="AV11" s="4"/>
      <c r="AW11" s="4"/>
      <c r="AX11" s="4"/>
      <c r="AY11" s="4"/>
      <c r="AZ11" s="4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</row>
    <row r="12" spans="1:81">
      <c r="A12" s="28"/>
      <c r="B12" s="57"/>
      <c r="C12" s="55"/>
      <c r="D12" s="55"/>
      <c r="E12" s="56"/>
      <c r="F12" s="29"/>
      <c r="G12" s="29"/>
      <c r="H12" s="29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4"/>
      <c r="AT12" s="4"/>
      <c r="AU12" s="4"/>
      <c r="AV12" s="4"/>
      <c r="AW12" s="4"/>
      <c r="AX12" s="4"/>
      <c r="AY12" s="4"/>
      <c r="AZ12" s="4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</row>
    <row r="13" spans="1:81">
      <c r="A13" s="28"/>
      <c r="B13" s="29"/>
      <c r="C13" s="29"/>
      <c r="D13" s="72" t="s">
        <v>268</v>
      </c>
      <c r="E13" s="29"/>
      <c r="F13" s="29" t="s">
        <v>266</v>
      </c>
      <c r="G13" s="29"/>
      <c r="H13" s="29"/>
      <c r="I13" s="26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4"/>
      <c r="AT13" s="4"/>
      <c r="AU13" s="4"/>
      <c r="AV13" s="4"/>
      <c r="AW13" s="4"/>
      <c r="AX13" s="4"/>
      <c r="AY13" s="4"/>
      <c r="AZ13" s="4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</row>
    <row r="14" spans="1:81">
      <c r="A14" s="28"/>
      <c r="B14" s="29"/>
      <c r="C14" s="29"/>
      <c r="D14" s="72"/>
      <c r="E14" s="29"/>
      <c r="F14" s="29"/>
      <c r="G14" s="29"/>
      <c r="H14" s="29"/>
      <c r="I14" s="26" t="s">
        <v>197</v>
      </c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4"/>
      <c r="AT14" s="4"/>
      <c r="AU14" s="4"/>
      <c r="AV14" s="4"/>
      <c r="AW14" s="4"/>
      <c r="AX14" s="4"/>
      <c r="AY14" s="4"/>
      <c r="AZ14" s="4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</row>
    <row r="15" spans="1:81">
      <c r="A15" s="24" t="s">
        <v>141</v>
      </c>
      <c r="B15" s="25" t="s">
        <v>208</v>
      </c>
      <c r="C15" s="25" t="s">
        <v>194</v>
      </c>
      <c r="D15" s="25" t="s">
        <v>142</v>
      </c>
      <c r="E15" s="24" t="str">
        <f>"α "&amp;IF(B9=0,"J","B")&amp;C9&amp;".0"</f>
        <v>α J2000.0</v>
      </c>
      <c r="F15" s="24" t="str">
        <f>"δ "&amp;IF(B9=0,"J","B")&amp;C9&amp;".0 "</f>
        <v xml:space="preserve">δ J2000.0 </v>
      </c>
      <c r="G15" s="31" t="s">
        <v>46</v>
      </c>
      <c r="H15" s="31" t="s">
        <v>47</v>
      </c>
      <c r="I15" s="85" t="s">
        <v>196</v>
      </c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4"/>
      <c r="AT15" s="4"/>
      <c r="AU15" s="4"/>
      <c r="AV15" s="4"/>
      <c r="AW15" s="4"/>
      <c r="AX15" s="4"/>
      <c r="AY15" s="4"/>
      <c r="AZ15" s="4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</row>
    <row r="16" spans="1:81">
      <c r="A16" s="59" t="str">
        <f>B11</f>
        <v>Leipzig</v>
      </c>
      <c r="B16" s="86" t="str">
        <f>IF(B80&lt;0,"-","+")&amp;INT((ABS(B80)*3600+0.04)/3600)&amp;"° "&amp;IF(MOD(INT((ABS(B80)*3600+0.04)/60),60)&lt;10,"0"&amp;MOD(INT((ABS(B80)*3600+0.04)/60),60),MOD(INT((ABS(B80)*3600+0.04)/60),60))&amp;"' "&amp;IF(INT(MOD(ABS(B80)*3600+0.04,60))&lt;10,"0"&amp;INT(MOD(ABS(B80)*3600+0.04,60)),INT(MOD(ABS(B80)*3600+0.04,60)))&amp;""","&amp;INT((MOD(ABS(B80)*3600+0.04,60)-INT(MOD(ABS(B80)*3600+0.04,60)))*10)</f>
        <v>-12° 24' 00",0</v>
      </c>
      <c r="C16" s="86" t="str">
        <f>IF(U80&lt;0,"-","+")&amp;INT((ABS(U80)*3600+0.04)/3600)&amp;"° "&amp;IF(MOD(INT((ABS(U80)*3600+0.04)/60),60)&lt;10,"0"&amp;MOD(INT((ABS(U80)*3600+0.04)/60),60),MOD(INT((ABS(U80)*3600+0.04)/60),60))&amp;"' "&amp;IF(INT(MOD(ABS(U80)*3600+0.04,60))&lt;10,"0"&amp;INT(MOD(ABS(U80)*3600+0.04,60)),INT(MOD(ABS(U80)*3600+0.04,60)))&amp;""","&amp;INT((MOD(ABS(U80)*3600+0.04,60)-INT(MOD(ABS(U80)*3600+0.04,60)))*10)</f>
        <v>+51° 18' 00",0</v>
      </c>
      <c r="D16" s="87">
        <f>E11</f>
        <v>130</v>
      </c>
      <c r="E16" s="24" t="str">
        <f>INT((ABS(P40)*3600+0.04)/3600)&amp;"h "&amp;IF(MOD(INT((ABS(P40)*3600+0.04)/60),60)&lt;10,"0"&amp;MOD(INT((ABS(P40)*3600+0.04)/60),60),MOD(INT((ABS(P40)*3600+0.04)/60),60))&amp;"m "&amp;IF(INT(MOD(ABS(P40)*3600+0.04,60))&lt;10,"0"&amp;INT(MOD(ABS(P40)*3600+0.04,60)),INT(MOD(ABS(P40)*3600+0.04,60)))&amp;"s,"&amp;INT((MOD(ABS(P40)*3600+0.04,60)-INT(MOD(ABS(P40)*3600+0.04,60)))*10)</f>
        <v>16h 29m 24s,5</v>
      </c>
      <c r="F16" s="24" t="str">
        <f>IF(SIGN(Q40)&lt;0,"-","+")&amp;INT(INT(ABS(Q40)*3600+0.4)/3600)&amp;"° "&amp;IF(INT(MOD(INT(ABS(Q40)*3600+0.4)/60,60))&lt;10,"0"&amp;INT(MOD(INT(ABS(Q40)*3600+0.4)/60,60)),INT(MOD(INT(ABS(Q40)*3600+0.4)/60,60)))&amp;"' "&amp;IF(MOD(INT(ABS(Q40)*3600+0.4),60)&lt;10,"0"&amp;MOD(INT(ABS(Q40)*3600+0.4),60),MOD(INT(ABS(Q40)*3600+0.4),60))&amp;""""</f>
        <v>-26° 25' 55"</v>
      </c>
      <c r="G16" s="59" t="str">
        <f>INT((ABS(AP42)*3600+0.04)/3600)&amp;"h "&amp;IF(MOD(INT((ABS(AP42)*3600+0.04)/60),60)&lt;10,"0"&amp;MOD(INT((ABS(AP42)*3600+0.04)/60),60),MOD(INT((ABS(AP42)*3600+0.04)/60),60))&amp;"m "&amp;IF(INT(MOD(ABS(AP42)*3600+0.04,60))&lt;10,"0"&amp;INT(MOD(ABS(AP42)*3600+0.04,60)),INT(MOD(ABS(AP42)*3600+0.04,60)))&amp;"s,"&amp;INT((MOD(ABS(AP42)*3600+0.04,60)-INT(MOD(ABS(AP42)*3600+0.04,60)))*10)</f>
        <v>16h 30m 50s,4</v>
      </c>
      <c r="H16" s="59" t="str">
        <f>IF(SIGN(AQ42)&lt;0,"-","+")&amp;INT(INT(ABS(AQ42)*3600+0.4)/3600)&amp;"° "&amp;IF(INT(MOD(INT(ABS(AQ42)*3600+0.4)/60,60))&lt;10,"0"&amp;INT(MOD(INT(ABS(AQ42)*3600+0.4)/60,60)),INT(MOD(INT(ABS(AQ42)*3600+0.4)/60,60)))&amp;"' "&amp;IF(MOD(INT(ABS(AQ42)*3600+0.4),60)&lt;10,"0"&amp;MOD(INT(ABS(AQ42)*3600+0.4),60),MOD(INT(ABS(AQ42)*3600+0.4),60))&amp;""""</f>
        <v>-26° 29' 03"</v>
      </c>
      <c r="I16" s="59" t="str">
        <f>INT((ABS(O36)*3600+0.04)/3600)&amp;"h "&amp;IF(MOD(INT((ABS(O36)*3600+0.04)/60),60)&lt;10,"0"&amp;MOD(INT((ABS(O36)*3600+0.04)/60),60),MOD(INT((ABS(O36)*3600+0.04)/60),60))&amp;"m "&amp;IF(INT(MOD(ABS(O36)*3600+0.04,60))&lt;10,"0"&amp;INT(MOD(ABS(O36)*3600+0.04,60)),INT(MOD(ABS(O36)*3600+0.04,60)))&amp;"s,"&amp;INT((MOD(ABS(O36)*3600+0.04,60)-INT(MOD(ABS(O36)*3600+0.04,60)))*10)</f>
        <v>1h 44m 54s,5</v>
      </c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4"/>
      <c r="AT16" s="4"/>
      <c r="AU16" s="4"/>
      <c r="AV16" s="4"/>
      <c r="AW16" s="4"/>
      <c r="AX16" s="4"/>
      <c r="AY16" s="4"/>
      <c r="AZ16" s="4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</row>
    <row r="17" spans="1:81">
      <c r="A17" s="29"/>
      <c r="B17" s="55" t="s">
        <v>266</v>
      </c>
      <c r="C17" s="55"/>
      <c r="D17" s="56"/>
      <c r="E17" s="29"/>
      <c r="F17" s="24"/>
      <c r="G17" s="59"/>
      <c r="H17" s="59"/>
      <c r="I17" s="59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4"/>
      <c r="AT17" s="4"/>
      <c r="AU17" s="4"/>
      <c r="AV17" s="4"/>
      <c r="AW17" s="4"/>
      <c r="AX17" s="4"/>
      <c r="AY17" s="4"/>
      <c r="AZ17" s="4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</row>
    <row r="18" spans="1:81">
      <c r="A18" s="23" t="str">
        <f>"            Geozentrische Konjunktion von Mond und Stern in Rektaszension um "&amp;INT(INT(ABS(T80)*3600+0.4)/3600)&amp;"h "&amp;IF(INT(MOD(INT(ABS(T80)*3600+0.4)/60,60))&lt;10,"0"&amp;INT(MOD(INT(ABS(T80)*3600+0.4)/60,60)),INT(MOD(INT(ABS(T80)*3600+0.4)/60,60)))&amp;"m,"&amp;INT(MOD(INT(ABS(T80*3600)+0.4),60)/6)&amp;IF(E7=2," MESZ",IF(E7=0," UT"," MEZ"))&amp;"    "&amp;"Es ereignet sich eine "&amp;IF(OR(Y83&lt;0.02,Y83=0.02),"ZENTRALE",IF(AND(Y83&gt;0.02,Y83&lt;0.98),"GEWÖHNLICHE",IF(AND(OR(Y83=0.98,Y83&gt;0.98),OR(Y83&lt;1,Y83=1)),"STREIFENDE","KEINE")))&amp;" Sternbedeckung!    C = "&amp;INT(Y83*1000+0.5)/1000</f>
        <v xml:space="preserve">            Geozentrische Konjunktion von Mond und Stern in Rektaszension um 14h 53m,0 MEZ    Es ereignet sich eine GEWÖHNLICHE Sternbedeckung!    C = 0,361</v>
      </c>
      <c r="B18" s="23"/>
      <c r="C18" s="88"/>
      <c r="D18" s="88"/>
      <c r="E18" s="59"/>
      <c r="F18" s="23"/>
      <c r="G18" s="59"/>
      <c r="H18" s="59"/>
      <c r="I18" s="37"/>
      <c r="J18" s="3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AS18" s="4"/>
      <c r="AT18" s="4"/>
      <c r="AU18" s="4"/>
      <c r="AV18" s="4"/>
      <c r="AW18" s="4"/>
      <c r="AX18" s="4"/>
      <c r="AY18" s="4"/>
      <c r="AZ18" s="4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</row>
    <row r="19" spans="1:81">
      <c r="A19" s="23"/>
      <c r="B19" s="23"/>
      <c r="C19" s="88"/>
      <c r="D19" s="95"/>
      <c r="E19" s="59"/>
      <c r="F19" s="23"/>
      <c r="G19" s="59"/>
      <c r="H19" s="59"/>
      <c r="I19" s="37"/>
      <c r="J19" s="3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2"/>
      <c r="AS19" s="4"/>
      <c r="AT19" s="4"/>
      <c r="AU19" s="4"/>
      <c r="AV19" s="4"/>
      <c r="AW19" s="4"/>
      <c r="AX19" s="4"/>
      <c r="AY19" s="4"/>
      <c r="AZ19" s="4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</row>
    <row r="20" spans="1:81">
      <c r="A20" s="23"/>
      <c r="B20" s="23" t="str">
        <f>"             "&amp;IF(ABS(Y83)&gt;1," . / .","Eintritt um "&amp;INT(INT(ABS(Y102)*3600+0.4)/3600)&amp;"h "&amp;IF(INT(MOD(INT(ABS(Y102)*3600+0.4)/60,60))&lt;10,"0"&amp;INT(MOD(INT(ABS(Y102)*3600+0.4)/60,60)),INT(MOD(INT(ABS(Y102)*3600+0.4)/60,60)))&amp;"m,"&amp;INT(MOD(INT(ABS(Y102*3600)+0.4),60)/6)&amp;IF(E7=2," MESZ",IF(E7=0," UT"," MEZ")))&amp;IF(Y83&lt;1,"     Positionswinkel = "&amp;IF(INT(180+ATAN2(V102,T102)*180/PI()+0.5)&lt;100,"  "&amp;INT(180+ATAN2(V102,T102)*180/PI()+0.5),INT(180+ATAN2(V102,T102)*180/PI()+0.5))&amp;"° ","")&amp;IF(Y83&lt;1,"     Vertex = "&amp;IF(INT(180+(ATAN2(V102,T102)-ATAN2(R102,P102))*180/PI()+0.5)&lt;10,"    "&amp;INT(180+(ATAN2(V102,T102)-ATAN2(R102,P102))*180/PI()+0.5),IF(INT(180+(ATAN2(V102,T102)-ATAN2(R102,P102))*180/PI()+0.5)&lt;100,"  "&amp;INT(180+(ATAN2(V102,T102)-ATAN2(R102,P102))*180/PI()+0.5),INT(180+(ATAN2(V102,T102)-ATAN2(R102,P102))*180/PI()+0.5)))&amp;"°","")&amp;IF(Y83&lt;1,"   Beleuchteter Teil des Mondes "&amp;INT((1+COS(ATAN2(AC127/149597870.66-AL129*COS(AB127-AK129)*COS(AA127-AJ129),AL129*SIN(ACOS(COS(AB127-AK129)*COS(AA127-AJ129))))))/0.02+0.5)&amp;"%",". / .")</f>
        <v xml:space="preserve">             Eintritt um 14h 11m,7 MEZ     Positionswinkel =   89°      Vertex =   95°   Beleuchteter Teil des Mondes 15%</v>
      </c>
      <c r="C20" s="88"/>
      <c r="D20" s="88"/>
      <c r="E20" s="23"/>
      <c r="F20" s="59"/>
      <c r="G20" s="88"/>
      <c r="H20" s="59"/>
      <c r="I20" s="37"/>
      <c r="J20" s="3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2"/>
      <c r="AS20" s="4"/>
      <c r="AT20" s="4"/>
      <c r="AU20" s="4"/>
      <c r="AV20" s="4"/>
      <c r="AW20" s="4"/>
      <c r="AX20" s="4"/>
      <c r="AY20" s="4"/>
      <c r="AZ20" s="4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</row>
    <row r="21" spans="1:81">
      <c r="A21" s="23"/>
      <c r="B21" s="23" t="str">
        <f>"             "&amp;IF(ABS(Y83)&gt;1," . / .","Austritt um "&amp;INT(INT(ABS(Y123)*3600+0.4)/3600)&amp;"h "&amp;IF(INT(MOD(INT(ABS(Y123)*3600+0.4)/60,60))&lt;10,"0"&amp;INT(MOD(INT(ABS(Y123)*3600+0.4)/60,60)),INT(MOD(INT(ABS(Y123)*3600+0.4)/60,60)))&amp;"m,"&amp;INT(MOD(INT(ABS(Y123*3600)+0.4),60)/6)&amp;IF(E7=2," MESZ",IF(E7=0," UT"," MEZ")))&amp;IF(Y83&lt;1,"     Positionswinkel = "&amp;INT(180+ATAN2(V123,T123)*180/PI()+0.5)&amp;"° ",". / .")&amp;IF(Y83&lt;1,"     Vertex = "&amp;IF(INT(180+(ATAN2(V123,T123)-ATAN2(R123,P123))*180/PI()+0.5)&lt;10,"  "&amp;INT(180+(ATAN2(V123,T123)-ATAN2(R123,P123))*180/PI()+0.5),IF(INT(180+(ATAN2(V123,T123)-ATAN2(R123,P123))*180/PI()+0.5)&lt;100," "&amp;INT(180+(ATAN2(V123,T123)-ATAN2(R123,P123))*180/PI()+0.5),INT(180+(ATAN2(V123,T123)-ATAN2(R123,P123))*180/PI()+0.5)))&amp;"°",". / .")&amp;IF(Y83&lt;1,"   Beleuchteter Teil des Mondes "&amp;INT((1+COS(ATAN2(AC132/149597870.66-AL134*COS(AB132-AK134)*COS(AA132-AJ134),AL134*SIN(ACOS(COS(AB132-AK134)*COS(AA132-AJ134))))))/0.02+0.5)&amp;"%",". / .")</f>
        <v xml:space="preserve">             Austritt um 15h 25m,5 MEZ     Positionswinkel = 306°      Vertex = 301°   Beleuchteter Teil des Mondes 15%</v>
      </c>
      <c r="C21" s="59"/>
      <c r="D21" s="88"/>
      <c r="E21" s="59"/>
      <c r="F21" s="59"/>
      <c r="G21" s="88"/>
      <c r="H21" s="59"/>
      <c r="I21" s="37"/>
      <c r="J21" s="3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AS21" s="4"/>
      <c r="AT21" s="4"/>
      <c r="AU21" s="4"/>
      <c r="AV21" s="4"/>
      <c r="AW21" s="4"/>
      <c r="AX21" s="4"/>
      <c r="AY21" s="4"/>
      <c r="AZ21" s="4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</row>
    <row r="22" spans="1:81">
      <c r="A22" s="23"/>
      <c r="B22" s="23"/>
      <c r="C22" s="59"/>
      <c r="D22" s="88"/>
      <c r="E22" s="59"/>
      <c r="F22" s="59"/>
      <c r="G22" s="88"/>
      <c r="H22" s="59"/>
      <c r="I22" s="37"/>
      <c r="J22" s="3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AS22" s="4"/>
      <c r="AT22" s="4"/>
      <c r="AU22" s="4"/>
      <c r="AV22" s="4"/>
      <c r="AW22" s="4"/>
      <c r="AX22" s="4"/>
      <c r="AY22" s="4"/>
      <c r="AZ22" s="4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</row>
    <row r="23" spans="1:81">
      <c r="A23" s="72"/>
      <c r="B23" s="106"/>
      <c r="C23" s="32" t="str">
        <f>IF(ABS(Y83)&gt;1," . / .","beim Eintritt  "&amp;IF(ABS(Y83)&gt;1," . / .","    Höhe des Mondes = "&amp;IF(INT(AT127*10+0.5)/10&lt;10,"  "&amp;INT(AT127*10+0.5)/10,INT(AT127*10+0.5)/10)&amp;"°")&amp;IF(ABS(Y83)&gt;1,"","      Azimut des Mondes von Norden = "&amp;IF(INT(AS127+0.5)&lt;100,"  "&amp;INT(AS127+0.5),INT(AS127+0.5))&amp;"°"))</f>
        <v>beim Eintritt      Höhe des Mondes = 11,7°      Azimut des Mondes von Norden = 171°</v>
      </c>
      <c r="D23" s="72"/>
      <c r="E23" s="24"/>
      <c r="F23" s="24"/>
      <c r="G23" s="71"/>
      <c r="H23" s="24"/>
      <c r="I23" s="34"/>
      <c r="J23" s="3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2"/>
      <c r="AS23" s="4"/>
      <c r="AT23" s="4"/>
      <c r="AU23" s="4"/>
      <c r="AV23" s="4"/>
      <c r="AW23" s="4"/>
      <c r="AX23" s="4"/>
      <c r="AY23" s="4"/>
      <c r="AZ23" s="4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</row>
    <row r="24" spans="1:81">
      <c r="A24" s="72"/>
      <c r="B24" s="107"/>
      <c r="C24" s="32" t="str">
        <f>IF(ABS(Y83)&gt;1," . / .","beim Austritt  "&amp;IF(ABS(Y83)&gt;1," . / .","   Höhe des Mondes = "&amp;IF(INT(AT132+0.5)&lt;10,"  "&amp;INT(AT132*10+0.5)/10,INT(AT132*10+0.5)/10)&amp;"°")&amp;IF(ABS(Y83)&gt;1,"","      Azimut des Mondes von Norden = "&amp;INT(AS132+0.5))&amp;"°")</f>
        <v>beim Austritt     Höhe des Mondes = 11,8°      Azimut des Mondes von Norden = 187°</v>
      </c>
      <c r="D24" s="71"/>
      <c r="E24" s="24"/>
      <c r="F24" s="24"/>
      <c r="G24" s="71"/>
      <c r="H24" s="24"/>
      <c r="I24" s="34"/>
      <c r="J24" s="3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AS24" s="4"/>
      <c r="AT24" s="4"/>
      <c r="AU24" s="4"/>
      <c r="AV24" s="4"/>
      <c r="AW24" s="4"/>
      <c r="AX24" s="4"/>
      <c r="AY24" s="4"/>
      <c r="AZ24" s="4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</row>
    <row r="25" spans="1:81">
      <c r="A25" s="72"/>
      <c r="B25" s="32"/>
      <c r="C25" s="33"/>
      <c r="D25" s="71"/>
      <c r="E25" s="24"/>
      <c r="F25" s="24"/>
      <c r="G25" s="71"/>
      <c r="H25" s="24"/>
      <c r="I25" s="34"/>
      <c r="J25" s="3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2"/>
      <c r="AS25" s="4"/>
      <c r="AT25" s="4"/>
      <c r="AU25" s="4"/>
      <c r="AV25" s="4"/>
      <c r="AW25" s="4"/>
      <c r="AX25" s="4"/>
      <c r="AY25" s="4"/>
      <c r="AZ25" s="4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</row>
    <row r="26" spans="1:81">
      <c r="A26" s="72"/>
      <c r="B26" s="32"/>
      <c r="C26" s="33"/>
      <c r="D26" s="71"/>
      <c r="E26" s="24"/>
      <c r="F26" s="24"/>
      <c r="G26" s="71"/>
      <c r="H26" s="24"/>
      <c r="I26" s="34"/>
      <c r="J26" s="3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2"/>
      <c r="AS26" s="4"/>
      <c r="AT26" s="4"/>
      <c r="AU26" s="4"/>
      <c r="AV26" s="4"/>
      <c r="AW26" s="4"/>
      <c r="AX26" s="4"/>
      <c r="AY26" s="4"/>
      <c r="AZ26" s="4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</row>
    <row r="27" spans="1:81">
      <c r="A27" s="72"/>
      <c r="B27" s="32"/>
      <c r="C27" s="32"/>
      <c r="D27" s="71"/>
      <c r="E27" s="24"/>
      <c r="F27" s="24"/>
      <c r="G27" s="71"/>
      <c r="H27" s="24"/>
      <c r="I27" s="34"/>
      <c r="J27" s="3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2"/>
      <c r="AS27" s="4"/>
      <c r="AT27" s="4"/>
      <c r="AU27" s="4"/>
      <c r="AV27" s="4"/>
      <c r="AW27" s="4"/>
      <c r="AX27" s="4"/>
      <c r="AY27" s="4"/>
      <c r="AZ27" s="4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</row>
    <row r="28" spans="1:81">
      <c r="A28" s="72"/>
      <c r="B28" s="32"/>
      <c r="C28" s="33"/>
      <c r="D28" s="29"/>
      <c r="E28" s="29" t="s">
        <v>276</v>
      </c>
      <c r="G28" s="71"/>
      <c r="H28" s="24"/>
      <c r="I28" s="34"/>
      <c r="J28" s="3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2"/>
      <c r="AS28" s="4"/>
      <c r="AT28" s="4"/>
      <c r="AU28" s="4"/>
      <c r="AV28" s="4"/>
      <c r="AW28" s="4"/>
      <c r="AX28" s="4"/>
      <c r="AY28" s="4"/>
      <c r="AZ28" s="4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</row>
    <row r="29" spans="1:81">
      <c r="A29" s="72"/>
      <c r="B29" s="32"/>
      <c r="C29" s="33"/>
      <c r="D29" s="29"/>
      <c r="E29" s="29" t="s">
        <v>199</v>
      </c>
      <c r="G29" s="71"/>
      <c r="H29" s="24"/>
      <c r="I29" s="34"/>
      <c r="J29" s="3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2"/>
      <c r="AS29" s="4"/>
      <c r="AT29" s="4"/>
      <c r="AU29" s="4"/>
      <c r="AV29" s="4"/>
      <c r="AW29" s="4"/>
      <c r="AX29" s="4"/>
      <c r="AY29" s="4"/>
      <c r="AZ29" s="4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</row>
    <row r="30" spans="1:81" ht="13.5" customHeight="1">
      <c r="A30" s="72"/>
      <c r="B30" s="32"/>
      <c r="C30" s="33"/>
      <c r="D30" s="29"/>
      <c r="E30" s="29"/>
      <c r="G30" s="71"/>
      <c r="H30" s="24"/>
      <c r="I30" s="34"/>
      <c r="J30" s="3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2"/>
      <c r="AS30" s="4"/>
      <c r="AT30" s="4"/>
      <c r="AU30" s="4"/>
      <c r="AV30" s="4"/>
      <c r="AW30" s="4"/>
      <c r="AX30" s="4"/>
      <c r="AY30" s="4"/>
      <c r="AZ30" s="4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</row>
    <row r="31" spans="1:81" hidden="1">
      <c r="A31" s="24"/>
      <c r="B31" s="24"/>
      <c r="C31" s="24" t="s">
        <v>48</v>
      </c>
      <c r="D31" s="24" t="s">
        <v>49</v>
      </c>
      <c r="E31" s="24" t="s">
        <v>44</v>
      </c>
      <c r="F31" s="24" t="s">
        <v>45</v>
      </c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2"/>
      <c r="AS31" s="4"/>
      <c r="AT31" s="4"/>
      <c r="AU31" s="4"/>
      <c r="AV31" s="4"/>
      <c r="AW31" s="4"/>
      <c r="AX31" s="4"/>
      <c r="AY31" s="4"/>
      <c r="AZ31" s="4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</row>
    <row r="32" spans="1:81" hidden="1">
      <c r="A32" s="28"/>
      <c r="B32" s="35"/>
      <c r="C32" s="36">
        <f>E9</f>
        <v>16.292449999999999</v>
      </c>
      <c r="D32" s="37">
        <f>F9</f>
        <v>-26.255500000000001</v>
      </c>
      <c r="E32" s="38">
        <f>G9</f>
        <v>-1E-3</v>
      </c>
      <c r="F32" s="39">
        <f>H9</f>
        <v>-0.02</v>
      </c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2"/>
      <c r="AS32" s="4"/>
      <c r="AT32" s="4"/>
      <c r="AU32" s="4"/>
      <c r="AV32" s="4"/>
      <c r="AW32" s="4"/>
      <c r="AX32" s="4"/>
      <c r="AY32" s="4"/>
      <c r="AZ32" s="4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</row>
    <row r="33" spans="1:109" hidden="1">
      <c r="A33" s="88" t="s">
        <v>50</v>
      </c>
      <c r="B33" s="40" t="s">
        <v>51</v>
      </c>
      <c r="C33" s="3" t="s">
        <v>52</v>
      </c>
      <c r="D33" s="3" t="s">
        <v>53</v>
      </c>
      <c r="E33" s="3" t="s">
        <v>54</v>
      </c>
      <c r="F33" s="3" t="s">
        <v>55</v>
      </c>
      <c r="G33" s="3" t="s">
        <v>56</v>
      </c>
      <c r="H33" s="3" t="s">
        <v>57</v>
      </c>
      <c r="I33" s="3" t="s">
        <v>58</v>
      </c>
      <c r="J33" s="3" t="s">
        <v>59</v>
      </c>
      <c r="K33" s="3" t="s">
        <v>60</v>
      </c>
      <c r="L33" s="3" t="s">
        <v>61</v>
      </c>
      <c r="M33" s="3" t="s">
        <v>62</v>
      </c>
      <c r="N33" s="3" t="s">
        <v>63</v>
      </c>
      <c r="O33" s="3" t="s">
        <v>64</v>
      </c>
      <c r="P33" s="3" t="s">
        <v>65</v>
      </c>
      <c r="Q33" s="3" t="s">
        <v>66</v>
      </c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2"/>
      <c r="AS33" s="4"/>
      <c r="AT33" s="4"/>
      <c r="AU33" s="4"/>
      <c r="AV33" s="4"/>
      <c r="AW33" s="4"/>
      <c r="AX33" s="4"/>
      <c r="AY33" s="4"/>
      <c r="AZ33" s="4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</row>
    <row r="34" spans="1:109" hidden="1">
      <c r="A34" s="28" t="s">
        <v>67</v>
      </c>
      <c r="B34" s="41">
        <f>B7+((C7-1)*30+D7+0.5)/365</f>
        <v>2023.7904109589042</v>
      </c>
      <c r="C34" s="40">
        <f>-20+32*(B34/100-18.2)*(B34/100-18.2)</f>
        <v>112.89770111615712</v>
      </c>
      <c r="D34" s="40">
        <f>IF(B34&lt;2051,-20+32*(B34/100-18.2)*(B34/100-18.2)-0.5628*(2150-B34),C34)</f>
        <v>41.866944403828413</v>
      </c>
      <c r="E34" s="40">
        <f>IF(B34&lt;2051,(0.005589*(B34-2000)+0.32217)*(B34-2000)+62.92,D34)</f>
        <v>73.747839338564518</v>
      </c>
      <c r="F34" s="40">
        <f>IF(B34&lt;2006,(((0.000651814*(B34-2000)+0.0017275)*(B34-2000)-0.060374)*(B34-2000)+0.3345)*(B34-2000)+63.86,E34)</f>
        <v>73.747839338564518</v>
      </c>
      <c r="G34" s="40">
        <f>IF(B34&lt;1987,((-(B34-1975)/718-2/260)*(B34-1975)+1.067)*(B34-1975)+45.45,F34)</f>
        <v>73.747839338564518</v>
      </c>
      <c r="H34" s="40">
        <f>IF(B34&lt;1962,(((B34-1950)/2547-2/233)*(B34-1950)+0.407)*(B34-1950)+29.07,G34)</f>
        <v>73.747839338564518</v>
      </c>
      <c r="I34" s="40">
        <f>IF(B34&lt;1942,((0.0020936*(B34-1920)-0.0761)*(B34-1920)+0.84493)*(B34-1920)+21.2,H34)</f>
        <v>73.747839338564518</v>
      </c>
      <c r="J34" s="40">
        <f>IF(B34&lt;1921,(((-0.000197*(B34-1900)+0.0061966)*(B34-1900)-0.0598939)*(B34-1900)+1.494119)*(B34-1900)-2.79,I34)</f>
        <v>73.747839338564518</v>
      </c>
      <c r="K34" s="40">
        <f>IF(B34&lt;1901,(((((B34-1860)/233174-0.0004473624)*(B34-1860)+0.01680668)*(B34-1860)-0.251754)*(B34-1860)+0.5737)*(B34-1860)+7.62,J34)</f>
        <v>73.747839338564518</v>
      </c>
      <c r="L34" s="40">
        <f>IF(B34&lt;1861,((((((0.000000000875*(B34-1800)-0.0000001699)*(B34-1800)+0.0000121272)*(B34-1800)-0.00037436)*(B34-1800)+0.0041116)*(B34-1800)+0.0068612)*(B34-1800)-0.332447)*(B34-1800)+13.72,K34)</f>
        <v>73.747839338564518</v>
      </c>
      <c r="M34" s="40">
        <f>IF(B34&lt;1801,(((-(B34-1700)/1174000+0.00013336)*(B34-1700)-0.0059285)*(B34-1700)+0.1603)*(B34-1700)+8.83,L34)</f>
        <v>73.747839338564518</v>
      </c>
      <c r="N34" s="40">
        <f>IF(B34&lt;1701,(((B34-1600)/7129-0.01532)*(B34-1600)-0.9808)*(B34-1600)+120,M34)</f>
        <v>73.747839338564518</v>
      </c>
      <c r="O34" s="40">
        <f>IF(B34&lt;1601,(((((0.0083572073*(B34/100-10)-0.005050998)*(B34/100-10)-0.8503463)*(B34/100-10)+0.319781)*(B34/100-10)+71.23472)*(B34/100-10)-556.01)*(B34/100-10)+1574.2,N34)</f>
        <v>73.747839338564518</v>
      </c>
      <c r="P34" s="40">
        <f>IF(B34&lt;501,(((((0.0090316521*(B34/100)+0.022174192)*(B34/100)-0.1798452)*(B34/100)-5.952053)*(B34/100)+33.78311)*(B34/100)-1014.41)*(B34/100)+10583.6,O34)</f>
        <v>73.747839338564518</v>
      </c>
      <c r="Q34" s="40">
        <f>IF(B34&lt;-500,-20+32*(B34/100-18.2)*(B34/100-18.2),P34)</f>
        <v>73.747839338564518</v>
      </c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2"/>
      <c r="AS34" s="4"/>
      <c r="AT34" s="4"/>
      <c r="AU34" s="4"/>
      <c r="AV34" s="4"/>
      <c r="AW34" s="4"/>
      <c r="AX34" s="4"/>
      <c r="AY34" s="4"/>
      <c r="AZ34" s="4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</row>
    <row r="35" spans="1:109" hidden="1">
      <c r="A35" s="26"/>
      <c r="B35" s="24" t="s">
        <v>68</v>
      </c>
      <c r="C35" s="24" t="s">
        <v>69</v>
      </c>
      <c r="D35" s="24" t="s">
        <v>70</v>
      </c>
      <c r="E35" s="24" t="s">
        <v>71</v>
      </c>
      <c r="F35" s="24" t="s">
        <v>72</v>
      </c>
      <c r="G35" s="24" t="s">
        <v>73</v>
      </c>
      <c r="H35" s="24" t="s">
        <v>0</v>
      </c>
      <c r="I35" s="24" t="s">
        <v>1</v>
      </c>
      <c r="J35" s="24" t="s">
        <v>2</v>
      </c>
      <c r="K35" s="24" t="s">
        <v>3</v>
      </c>
      <c r="L35" s="24" t="s">
        <v>4</v>
      </c>
      <c r="M35" s="24" t="s">
        <v>5</v>
      </c>
      <c r="N35" s="4" t="s">
        <v>144</v>
      </c>
      <c r="O35" s="4" t="s">
        <v>143</v>
      </c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2"/>
      <c r="AS35" s="4"/>
      <c r="AT35" s="4"/>
      <c r="AU35" s="4"/>
      <c r="AV35" s="4"/>
      <c r="AW35" s="4"/>
      <c r="AX35" s="4"/>
      <c r="AY35" s="4"/>
      <c r="AZ35" s="4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</row>
    <row r="36" spans="1:109" hidden="1">
      <c r="A36" s="28" t="s">
        <v>74</v>
      </c>
      <c r="B36" s="42">
        <f>B7</f>
        <v>2023</v>
      </c>
      <c r="C36" s="42">
        <f>C7</f>
        <v>10</v>
      </c>
      <c r="D36" s="42">
        <f>D7</f>
        <v>18</v>
      </c>
      <c r="E36" s="42">
        <v>12</v>
      </c>
      <c r="F36" s="41">
        <f>D36+E36/24</f>
        <v>18.5</v>
      </c>
      <c r="G36" s="24">
        <f>IF(C36&lt;3,B36-1,B36)</f>
        <v>2023</v>
      </c>
      <c r="H36" s="24">
        <f>IF(C36&lt;3,C36+12,C36)</f>
        <v>10</v>
      </c>
      <c r="I36" s="24">
        <f>SIGN(G36/100)*INT(ABS(G36/100))</f>
        <v>20</v>
      </c>
      <c r="J36" s="24">
        <f>2-I36+SIGN(I36/4)*INT(ABS(I36/4))</f>
        <v>-13</v>
      </c>
      <c r="K36" s="108">
        <f>INT(365.25*(G36+4716))+INT(30.6001*(H36+1))+F36-1524.5</f>
        <v>2460249</v>
      </c>
      <c r="L36" s="108">
        <f>INT(365.25*(G36+4716))+INT(30.6001*(H36+1))+F36+J36-1524.5</f>
        <v>2460236</v>
      </c>
      <c r="M36" s="108">
        <f>IF(L36&lt;2299160.5,K36,L36)</f>
        <v>2460236</v>
      </c>
      <c r="N36" s="24">
        <f>(M36-2451545.5)/36525</f>
        <v>0.23793292265571525</v>
      </c>
      <c r="O36" s="24">
        <f>INT(MOD((((-0.0000062*N36+0.093104)*N36+8640184.812866)*N36+50.54841)/3600+41/60+6+I47*12/PI()*COS(K47+L47),24)*36000+0.5)/36000</f>
        <v>1.7484722222222222</v>
      </c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2"/>
      <c r="AS36" s="4"/>
      <c r="AT36" s="4"/>
      <c r="AU36" s="4"/>
      <c r="AV36" s="4"/>
      <c r="AW36" s="4"/>
      <c r="AX36" s="4"/>
      <c r="AY36" s="4"/>
      <c r="AZ36" s="4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</row>
    <row r="37" spans="1:109" hidden="1">
      <c r="A37" s="24"/>
      <c r="B37" s="24" t="s">
        <v>75</v>
      </c>
      <c r="C37" s="24" t="s">
        <v>5</v>
      </c>
      <c r="D37" s="24" t="s">
        <v>76</v>
      </c>
      <c r="E37" s="24" t="s">
        <v>77</v>
      </c>
      <c r="F37" s="24" t="s">
        <v>78</v>
      </c>
      <c r="G37" s="24" t="s">
        <v>1</v>
      </c>
      <c r="H37" s="24" t="s">
        <v>2</v>
      </c>
      <c r="I37" s="24" t="s">
        <v>79</v>
      </c>
      <c r="J37" s="24" t="s">
        <v>72</v>
      </c>
      <c r="K37" s="24" t="s">
        <v>80</v>
      </c>
      <c r="L37" s="24" t="s">
        <v>70</v>
      </c>
      <c r="M37" s="24" t="s">
        <v>70</v>
      </c>
      <c r="N37" s="24" t="s">
        <v>69</v>
      </c>
      <c r="O37" s="24" t="s">
        <v>69</v>
      </c>
      <c r="P37" s="24" t="s">
        <v>69</v>
      </c>
      <c r="Q37" s="24" t="s">
        <v>68</v>
      </c>
      <c r="R37" s="24" t="s">
        <v>68</v>
      </c>
      <c r="S37" s="24" t="s">
        <v>68</v>
      </c>
      <c r="T37" s="24" t="s">
        <v>81</v>
      </c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2"/>
      <c r="AS37" s="4"/>
      <c r="AT37" s="4"/>
      <c r="AU37" s="4"/>
      <c r="AV37" s="4"/>
      <c r="AW37" s="4"/>
      <c r="AX37" s="4"/>
      <c r="AY37" s="4"/>
      <c r="AZ37" s="4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</row>
    <row r="38" spans="1:109" hidden="1">
      <c r="A38" s="28" t="s">
        <v>82</v>
      </c>
      <c r="B38" s="43">
        <f>IF(B9=0,2415020+365.25*(C9-1900),2415020.31352+365.242198781*(C9-1900))</f>
        <v>2451545</v>
      </c>
      <c r="C38" s="44">
        <f>B38+0.5</f>
        <v>2451545.5</v>
      </c>
      <c r="D38" s="42">
        <f>INT(C38)</f>
        <v>2451545</v>
      </c>
      <c r="E38" s="45">
        <f>C38-D38</f>
        <v>0.5</v>
      </c>
      <c r="F38" s="42">
        <f>INT((D38-1867216.25)/36524.25)</f>
        <v>15</v>
      </c>
      <c r="G38" s="42">
        <f>IF(D38&lt;2299161,D38,D38+1+F38-INT(F38/4))</f>
        <v>2451558</v>
      </c>
      <c r="H38" s="42">
        <f>G38+1524</f>
        <v>2453082</v>
      </c>
      <c r="I38" s="24">
        <f>INT((H38-122.1)/365.25)</f>
        <v>6715</v>
      </c>
      <c r="J38" s="24">
        <f>INT(365.25*I38)</f>
        <v>2452653</v>
      </c>
      <c r="K38" s="24">
        <f>INT((H38-J38)/30.6001)</f>
        <v>14</v>
      </c>
      <c r="L38" s="41">
        <f>H38-J38-INT(30.6001*K38)+E38</f>
        <v>1.5</v>
      </c>
      <c r="M38" s="41">
        <f>INT(L38)</f>
        <v>1</v>
      </c>
      <c r="N38" s="24">
        <f>IF(K38&lt;14,K38-1,K38)</f>
        <v>14</v>
      </c>
      <c r="O38" s="24">
        <f>IF(K38=14,K38-13,N38)</f>
        <v>1</v>
      </c>
      <c r="P38" s="24">
        <f>IF(K38=15,K38-13,O38)</f>
        <v>1</v>
      </c>
      <c r="Q38" s="24">
        <f>IF(P38&gt;2,I38-4716,I38)</f>
        <v>6715</v>
      </c>
      <c r="R38" s="24">
        <f>IF(P38=2,I38-4715,Q38)</f>
        <v>6715</v>
      </c>
      <c r="S38" s="24">
        <f>IF(P38=1,R38-4715,R38)</f>
        <v>2000</v>
      </c>
      <c r="T38" s="41">
        <f>E38*24</f>
        <v>12</v>
      </c>
      <c r="U38" s="24"/>
      <c r="V38" s="4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2"/>
      <c r="AS38" s="4"/>
      <c r="AT38" s="4"/>
      <c r="AU38" s="4"/>
      <c r="AV38" s="4"/>
      <c r="AW38" s="4"/>
      <c r="AX38" s="4"/>
      <c r="AY38" s="4"/>
      <c r="AZ38" s="4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</row>
    <row r="39" spans="1:109" hidden="1">
      <c r="A39" s="24"/>
      <c r="B39" s="26" t="s">
        <v>83</v>
      </c>
      <c r="C39" s="26" t="s">
        <v>84</v>
      </c>
      <c r="D39" s="24" t="s">
        <v>6</v>
      </c>
      <c r="E39" s="24" t="s">
        <v>85</v>
      </c>
      <c r="F39" s="24" t="s">
        <v>86</v>
      </c>
      <c r="G39" s="24" t="s">
        <v>87</v>
      </c>
      <c r="H39" s="24" t="s">
        <v>88</v>
      </c>
      <c r="I39" s="24" t="s">
        <v>89</v>
      </c>
      <c r="J39" s="24" t="s">
        <v>90</v>
      </c>
      <c r="K39" s="3" t="s">
        <v>1</v>
      </c>
      <c r="L39" s="3" t="s">
        <v>2</v>
      </c>
      <c r="M39" s="24" t="s">
        <v>79</v>
      </c>
      <c r="N39" s="24" t="s">
        <v>91</v>
      </c>
      <c r="O39" s="24" t="s">
        <v>92</v>
      </c>
      <c r="P39" s="24" t="s">
        <v>93</v>
      </c>
      <c r="Q39" s="24" t="s">
        <v>94</v>
      </c>
      <c r="R39" s="24"/>
      <c r="S39" s="24"/>
      <c r="T39" s="46"/>
      <c r="U39" s="46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2"/>
      <c r="AS39" s="4"/>
      <c r="AT39" s="4"/>
      <c r="AU39" s="4"/>
      <c r="AV39" s="4"/>
      <c r="AW39" s="4"/>
      <c r="AX39" s="4"/>
      <c r="AY39" s="4"/>
      <c r="AZ39" s="4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</row>
    <row r="40" spans="1:109" hidden="1">
      <c r="A40" s="27" t="s">
        <v>95</v>
      </c>
      <c r="B40" s="44">
        <f>B38</f>
        <v>2451545</v>
      </c>
      <c r="C40" s="44">
        <f>M36</f>
        <v>2460236</v>
      </c>
      <c r="D40" s="47">
        <f>(B40-2451545)/36525</f>
        <v>0</v>
      </c>
      <c r="E40" s="47">
        <f>(C40-B40)/36525</f>
        <v>0.23794661190965091</v>
      </c>
      <c r="F40" s="24">
        <f>((INT(ABS(C32))+INT(ABS(C32)*100-INT(ABS(C32))*100)/60+(100*ABS(C32)-INT(100*ABS(C32)))*100/3600)+E40*E32/36)*PI()/12</f>
        <v>4.317106535437464</v>
      </c>
      <c r="G40" s="24">
        <f>(SIGN(D32)*(INT(ABS(D32))+INT(ABS(D32)*100-INT(ABS(D32))*100)/60+(100*ABS(D32)-INT(100*ABS(D32)))*100/3600)+E40*F32/36)*PI()/180</f>
        <v>-0.46132676545523565</v>
      </c>
      <c r="H40" s="47">
        <f>((0.017998*E40+(0.30188-0.000344*D40))*E40+(-0.000139*D40+1.39656)*D40+2306.2181)*E40*PI()/648000</f>
        <v>2.660532001057786E-3</v>
      </c>
      <c r="I40" s="47">
        <f>((0.018203*E40+(1.09468+0.000066*D40))*E40+(-0.000139*D40+1.39656)*D40+2306.2181)*E40*PI()/648000</f>
        <v>2.6607496338225049E-3</v>
      </c>
      <c r="J40" s="47">
        <f>((-0.041833*E40-(0.42665+0.000217*D40))*E40+(-0.000217*D40-0.8533)*D40+2004.3109)*E40*PI()/648000</f>
        <v>2.312048655519045E-3</v>
      </c>
      <c r="K40" s="48">
        <f>COS(G40)*SIN(F40+H40)</f>
        <v>-0.82732609676231905</v>
      </c>
      <c r="L40" s="48">
        <f>COS(J40)*COS(G40)*COS(F40+H40)-SIN(J40)*SIN(G40)</f>
        <v>-0.34158480238027261</v>
      </c>
      <c r="M40" s="48">
        <f>SIN(J40)*COS(G40)*COS(F40+H40)+COS(J40)*SIN(G40)</f>
        <v>-0.4459275192212922</v>
      </c>
      <c r="N40" s="41">
        <f>MOD((ATAN2(L40,K40)+I40)*12/PI(),24)</f>
        <v>16.514519519704372</v>
      </c>
      <c r="O40" s="47">
        <f>ATAN(M40/SQRT(K40*K40+L40*L40))*180/PI()</f>
        <v>-26.482696458998163</v>
      </c>
      <c r="P40" s="24">
        <f>(INT(ABS(C32))+INT(ABS(C32)*100-INT(ABS(C32))*100)/60+(100*ABS(C32)-INT(100*ABS(C32)))*100/3600)</f>
        <v>16.490138888888886</v>
      </c>
      <c r="Q40" s="24">
        <f>SIGN(D32)*(INT(ABS(D32))+INT(ABS(D32)*100-INT(ABS(D32))*100)/60+(100*ABS(D32)-INT(100*ABS(D32)))*100/3600)</f>
        <v>-26.431944444444451</v>
      </c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41"/>
      <c r="AI40" s="41"/>
      <c r="AJ40" s="41"/>
      <c r="AK40" s="41"/>
      <c r="AL40" s="49" t="s">
        <v>96</v>
      </c>
      <c r="AM40" s="41"/>
      <c r="AN40" s="50" t="s">
        <v>97</v>
      </c>
      <c r="AO40" s="24"/>
      <c r="AP40" s="24"/>
      <c r="AQ40" s="24"/>
      <c r="AR40" s="22"/>
      <c r="AS40" s="4"/>
      <c r="AT40" s="4"/>
      <c r="AU40" s="4"/>
      <c r="AV40" s="4"/>
      <c r="AW40" s="4"/>
      <c r="AX40" s="4"/>
      <c r="AY40" s="4"/>
      <c r="AZ40" s="4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</row>
    <row r="41" spans="1:109" hidden="1">
      <c r="A41" s="27"/>
      <c r="B41" s="51" t="s">
        <v>98</v>
      </c>
      <c r="C41" s="34" t="s">
        <v>99</v>
      </c>
      <c r="D41" s="34" t="s">
        <v>100</v>
      </c>
      <c r="E41" s="34" t="s">
        <v>101</v>
      </c>
      <c r="F41" s="34" t="s">
        <v>102</v>
      </c>
      <c r="G41" s="34" t="s">
        <v>103</v>
      </c>
      <c r="H41" s="42" t="s">
        <v>104</v>
      </c>
      <c r="I41" s="48" t="s">
        <v>105</v>
      </c>
      <c r="J41" s="42" t="s">
        <v>106</v>
      </c>
      <c r="K41" s="48" t="s">
        <v>107</v>
      </c>
      <c r="L41" s="48" t="s">
        <v>108</v>
      </c>
      <c r="M41" s="42" t="s">
        <v>109</v>
      </c>
      <c r="N41" s="30" t="s">
        <v>110</v>
      </c>
      <c r="O41" s="30" t="s">
        <v>111</v>
      </c>
      <c r="P41" s="41" t="s">
        <v>111</v>
      </c>
      <c r="Q41" s="41" t="s">
        <v>112</v>
      </c>
      <c r="R41" s="30" t="s">
        <v>113</v>
      </c>
      <c r="S41" s="30" t="s">
        <v>114</v>
      </c>
      <c r="T41" s="34" t="s">
        <v>115</v>
      </c>
      <c r="U41" s="24" t="s">
        <v>116</v>
      </c>
      <c r="V41" s="24" t="s">
        <v>117</v>
      </c>
      <c r="W41" s="48" t="s">
        <v>118</v>
      </c>
      <c r="X41" s="48" t="s">
        <v>119</v>
      </c>
      <c r="Y41" s="48" t="s">
        <v>120</v>
      </c>
      <c r="Z41" s="48" t="s">
        <v>121</v>
      </c>
      <c r="AA41" s="48" t="s">
        <v>122</v>
      </c>
      <c r="AB41" s="48" t="s">
        <v>123</v>
      </c>
      <c r="AC41" s="24" t="s">
        <v>124</v>
      </c>
      <c r="AD41" s="24" t="s">
        <v>125</v>
      </c>
      <c r="AE41" s="24" t="s">
        <v>126</v>
      </c>
      <c r="AF41" s="48" t="s">
        <v>127</v>
      </c>
      <c r="AG41" s="24" t="s">
        <v>128</v>
      </c>
      <c r="AH41" s="24" t="s">
        <v>129</v>
      </c>
      <c r="AI41" s="24" t="s">
        <v>130</v>
      </c>
      <c r="AJ41" s="24" t="s">
        <v>131</v>
      </c>
      <c r="AK41" s="24" t="s">
        <v>132</v>
      </c>
      <c r="AL41" s="24" t="s">
        <v>133</v>
      </c>
      <c r="AM41" s="24" t="s">
        <v>134</v>
      </c>
      <c r="AN41" s="24" t="s">
        <v>135</v>
      </c>
      <c r="AO41" s="24" t="s">
        <v>136</v>
      </c>
      <c r="AP41" s="24" t="s">
        <v>254</v>
      </c>
      <c r="AQ41" s="24" t="s">
        <v>255</v>
      </c>
      <c r="AR41" s="41"/>
      <c r="AS41" s="4"/>
      <c r="AT41" s="4"/>
      <c r="AU41" s="4"/>
      <c r="AV41" s="4"/>
      <c r="AW41" s="4"/>
      <c r="AX41" s="4"/>
      <c r="AY41" s="4"/>
      <c r="AZ41" s="4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</row>
    <row r="42" spans="1:109" hidden="1">
      <c r="A42" s="27" t="s">
        <v>137</v>
      </c>
      <c r="B42" s="47">
        <f>E40</f>
        <v>0.23794661190965091</v>
      </c>
      <c r="C42" s="41">
        <f>MOD((((0.064*B42+31.31)*B42+1717915922.633)*B42+485866.733)/3600,360)*PI()/180</f>
        <v>4.9360909467747778</v>
      </c>
      <c r="D42" s="41">
        <f>MOD((((-0.012*B42-0.577)*B42+(99*1296000+1292581.224)*B42)+1287099.804)/3600,360)*PI()/180</f>
        <v>4.9459095902572301</v>
      </c>
      <c r="E42" s="41">
        <f>MOD((((0.011*B42-13.257)*B42+1739527263.137*B42)+335778.877)/3600,360)*PI()/180</f>
        <v>4.0064726800341877</v>
      </c>
      <c r="F42" s="41">
        <f>MOD((((0.019*B42-6.891)*B42+1602961601.328*B42)+1072261.307)/3600,360)*PI()/180</f>
        <v>0.83165775477130111</v>
      </c>
      <c r="G42" s="41">
        <f>MOD((((0.008*B42+7.455)*B42-6962890.539*B42)+450160.28)/3600,360)*PI()/180</f>
        <v>0.43325782579249639</v>
      </c>
      <c r="H42" s="42">
        <f>SIN(G42)*(-171996-174.2*B42)+SIN(2*G42)*(2062+0.2*B42)+SIN(2*(-C42+E42)+G42)*46+SIN(2*(C42-E42))*11+SIN(2*(-C42+E42+G42))*-3+SIN(C42-D42-F42)*-3+SIN(2*(-D42+E42-F42)+G42)*-2+SIN(2*(C42-E42)+G42)+SIN(2*(E42-F42+G42))*(-13187-1.6*B42)+SIN(D42)*(1426-3.4*B42)+SIN(D42+2*(E42-F42+G42))*(-517+1.2*B42)+SIN(-D42+2*(E42-F42+G42))*(217-0.5*B42)+SIN(2*(E42-F42)+G42)*(129+0.1*B42)+SIN(2*(C42-F42))*48+SIN(2*(E42-F42))*-22+SIN(2*D42)*(17-0.1*B42)+SIN(D42+G42)*-15+SIN(2*(D42+E42-F42+G42))*(-16+0.1*B42)+SIN(-D42+G42)*-12+SIN(2*(-C42+F42)+G42)*-6+SIN(-D42+2*(E42-F42)+G42)*-5+SIN(2*(C42-F42)+G42)*4+SIN(2*(E42-F42)+G42)*4+SIN(C42-F42)*-4+SIN(2*(C42-F42)+D42)+SIN(2*(-E42+F42)+G42)-SIN(D42+2*(-E42+F42))+SIN(D42+2*G42)+SIN(-C42+F42+G42)-SIN(D42+2*(E42-F42))+SIN(2*E42+2*G42)*(-2274-0.2*B42)+SIN(C42)*(712+0.1*B42)+SIN(2*E42+G42)*(-386-0.4*B42)+SIN(C42+2*(E42+G42))*-301+SIN(C42-2*F42)*-158+SIN(-C42+2*(E42+G42))*123+SIN(2*F42)*63+SIN(C42+G42)*(63+0.1*B42)+SIN(-C42+G42)*(-58-0.1*B42)+SIN(-C42+2*(E42+F42+G42))*-59+SIN(C42+2*E42+G42)*-51+SIN(2*(E42+F42+G42))*-38+SIN(2*C42)*29+SIN(C42+2*(E42-F42+G42))*29+SIN(2*(C42+E42+G42))*-31+SIN(2*E42)*26+SIN(-C42+2*E42+G42)*21+SIN(-C42+2*F42+G42)*16+SIN(C42-2*F42+G42)*-13+SIN(-C42+2*(E42+F42)+G42)*-10+SIN(C42+D42-2*F42)*-7+SIN(D42+2*(E42+G42))*7+SIN(-D42+2*(E42+G42))*-7</f>
        <v>-84714.904075874365</v>
      </c>
      <c r="I42" s="41">
        <f>(H42+SIN(C42+2*(E42+F42+G42))*-8+SIN(C42+2*F42)*6+SIN(2*(C42+E42-F42+G42))*6+SIN(2*F42+G42)*-6+SIN(2*(E42+F42)+G42)*-7+SIN(C42+2*(E42-F42)+G42)*6+SIN(-2*F42+G42)*-5+SIN(C42-D42)*5+SIN(2*(C42+E42)+G42)*-5+SIN(D42-2*F42)*-4+SIN(C42-2*E42)*4+SIN(F42)*-4+SIN(C42+D42)*-3+SIN(C42+2*E42)*3+SIN(C42-D42+2*(E42+G42))*-3+SIN(-C42-D42+2*(E42+F42+G42))*-3+SIN(-2*C42+G42)*-2+SIN(3*C42+2*(E42+G42))*-3+SIN(-D42+2*(E42+F42+G42))*-3+SIN(C42+D42+2*(E42+G42))*2+SIN(-C42+2*(E42-F42)+G42)*-2+SIN(2*C42+G42)*2+SIN(C42+2*G42)*-2+SIN(3*C42)*2+SIN(2*(E42+G42)+F42)*2+SIN(-C42+2*G42)-SIN(C42-4*F42)+SIN(2*(-C42+E42+F42+G42))+SIN(-C42+2*(E42+2*F42+G42))*-2-SIN(2*(C42-2*F42))+SIN(C42+D42+2*(E42-F42+G42))-SIN(C42+2*(E42+F42)+G42)-SIN(2*(-C42+E42+2*F42+G42))+SIN(-C42+2*(2*E42+G42))+SIN(C42-D42-2*F42)+SIN(2*(C42+E42-F42)+G42)-SIN(2*(C42+E42+F42+G42))-SIN(C42+2*F42+G42)+SIN(2*(2*E42-F42+G42))+SIN(3*C42+2*(E42-F42+G42))-SIN(C42+2*(E42-F42))+SIN(D42+2*E42+G42)+SIN(-C42-D42+2*F42+G42)-SIN(-2*E42+G42)-SIN(2*E42-F42+2*G42)-SIN(D42+2*F42)-SIN(C42+2*(-E42-F42))-SIN(-D42+2*E42+G42)-SIN(C42+D42-2*F42+G42)-SIN(C42+2*(-E42+F42))+SIN(2*(C42+F42))-SIN(2*(E42+2*F42+G42))+SIN(D42+F42))*PI()/6480000000</f>
        <v>-4.1077177210110687E-5</v>
      </c>
      <c r="J42" s="42">
        <f>COS(G42)*(92025+8.9*B42)+COS(2*G42)*(-895+0.5*B42)+COS(2*(-C42+E42)+G42)*-24+COS(2*(-C42+E42+G42))+COS(2*(-D42+E42-F42)+G42)+COS(2*(E42-F42+G42))*(5736-3.1*B42)+COS(D42)*(54-0.1*B42)+COS(D42+2*(E42-F42+G42))*(224-0.6*B42)+COS(-D42+2*(E42-F42+G42))*(-95-0.3*B42)+COS(2*(E42-F42)+G42)*-70+COS(2*(C42-F42))+COS(D42+G42)*9+COS(2*(D42+E42-F42+G42))*7+COS(-D42+G42)*6+COS(2*(-C42+F42)+G42)*3+COS(-D42+2*(E42-F42)+G42)*3+COS(2*(C42-F42)+G42)*-2+COS(D42+2*(E42-F42)+G42)*-2+COS(PI()/2)+COS(PI()/2)+COS(PI()/2)+COS(PI()/2)+COS(PI()/2)+COS(PI()/2)+COS(2*E42+2*G42)*(977-0.5*B42)+COS(C42)*-7+COS(2*E42+G42)*200+COS(C42+2*(E42+G42))*(129-0.1*B42)-COS(C42-2*F42)+COS(-C42+2*(E42+G42))*-53+COS(2*F42)*-2+COS(C42+G42)*-33+COS(-C42+G42)*32+COS(-C42+2*(E42+F42+G42))*26+COS(C42+2*E42+G42)*27+COS(2*(E42+F42+G42))*16-COS(2*C42)+COS(C42+2*(E42-F42+G42))*-12+COS(2*(C42+E42+G42))*13-COS(2*E42)+COS(-C42+2*E42+G42)*-10+COS(-C42+2*F42+G42)*-8+COS(C42-2*F42+G42)*7+COS(-C42+2*(E42+F42)+G42)*5+COS(D42+2*(E42+G42))*-3+COS(-D42+2*(E42+G42))*3</f>
        <v>85724.908493382842</v>
      </c>
      <c r="K42" s="41">
        <f>(J42+COS(C42+2*(E42+F42+G42))*3+COS(2*(C42+E42-F42+G42))*-3+COS(2*F42+G42)*3+COS(2*(E42+F42)+G42)*3+COS(C42+2*(E42-F42)+G42)*-3+COS(-2*F42+G42)*3+COS(2*(C42+E42)+G42)*3+COS(C42-D42+2*(E42+G42))+COS(-C42-D42+2*(E42+F42+G42))+COS(-2*C42+G42)+COS(3*C42+2*(E42+G42))+COS(-D42+2*(E42+F42+G42))-COS(C42+D42+2*(E42+G42))+COS(-C42+2*(E42-F42)+G42)-COS(2*C42+G42)+COS(C42+2*G42)-COS(2*(E42+G42)+F42)-COS(-C42+2*G42)-COS(2*(-C42+E42+F42+G42))+COS(-C42+2*(E42+2*F42+G42))-COS(C42+D42+2*(E42-F42+G42))+COS(C42+2*(E42+F42)+G42)+COS(2*(-C42+E42+2*F42+G42))-COS(2*(C42+E42-F42)+G42))*PI()/6480000000</f>
        <v>4.1558729478236522E-5</v>
      </c>
      <c r="L42" s="41">
        <f>(((((((((((245*B42/100+579)*B42/100+2787)*B42/100+712)*B42/100-3905)*B42/100-24967)*B42/100-5138)*B42/1007+199925)*B42/100-155)*B42/100-468093)*B42/100+158144.8)/360000+23)*PI()/180</f>
        <v>0.4090388052082205</v>
      </c>
      <c r="M42" s="42">
        <v>0</v>
      </c>
      <c r="N42" s="41">
        <f>B42/10</f>
        <v>2.3794661190965093E-2</v>
      </c>
      <c r="O42" s="42">
        <f>175347046+3341656*COS(4.6692568+6283.07585*N42)+34894*COS(4.6261+12566.1517*N42)+3497*COS(2.7441+5753.3849*N42)+3418*COS(2.8289+3.5231*N42)+3136*COS(3.6277+77713.7715*N42)+2676*COS(4.4181+7860.4194*N42)+2343*COS(6.1352+3930.2097*N42)+1324*COS(0.7425+11506.7698*N42)+1273*COS(2.0371+529.691*N42)+1199*COS(1.1096+1577.3435*N42)+990*COS(5.233+5884.927*N42)+902*COS(2.045+26.298*N42)+857*COS(3.508+398.149*N42)+780*COS(1.179+5223.694*N42)+753*COS(2.533+5507.553*N42)+505*COS(4.583+18849.228*N42)+492*COS(4.205+775.523*N42)+357*COS(2.92+0.067*N42)+317*COS(5.849+11790.629*N42)+284*COS(1.899+796.298*N42)+271*COS(0.315+10977.079*N42)+243*COS(0.345+5486.778*N42)+206*COS(4.806+2544.314*N42)+205*COS(1.869+5573.143*N42)+202*COS(2.458+6069.777*N42)+156*COS(0.833+213.299*N42)+132*COS(3.411+2942.463*N42)+126*COS(1.083+20.775*N42)+115*COS(0.645+0.98*N42)+103*COS(0.636+4694.003*N42)+102*COS(0.976+15720.839*N42)+102*COS(4.267+7.114*N42)+99*COS(6.21+2146.17*N42)+98*COS(0.68+155.42*N42)+86*COS(5.98+161000.69*N42)+85*COS(1.3+6275.96*N42)+85*COS(3.67+71430.7*N42)+80*COS(1.81+17260.15*N42)+79*COS(3.04+12036.46*N42)+75*COS(1.76+5088.63*N42)+74*COS(3.5+3154.69*N42)+74*COS(4.68+801.82*N42)+70*COS(0.83+9437.76*N42)+62*COS(3.98+8827.39*N42)+61*COS(1.82+7084.9*N42)+57*COS(2.78+6286.6*N42)+56*COS(4.39+14143.5*N42)+56*COS(3.47+6279.55*N42)+52*COS(0.19+12139.55*N42)+52*COS(1.33+1748.02*N42)+51*COS(0.28+5856.48*N42)+49*COS(0.49+1194.45*N42)+41*COS(5.37+8429.24*N42)+41*COS(2.4+19651.05*N42)</f>
        <v>172079938.10302392</v>
      </c>
      <c r="P42" s="42">
        <f>O42+39*COS(6.17+10447.39*N42)+37*COS(6.04+10213.29*N42)+37*COS(2.57+1059.38*N42)+36*COS(1.71+2352.87*N42)+36*COS(1.78+6812.77*N42)+33*COS(0.59+17789.85*N42)+30*COS(0.44+83996.85*N42)+30*COS(2.74+1349.87*N42)+25*COS(3.16+4690.48*N42)</f>
        <v>172079841.74054658</v>
      </c>
      <c r="Q42" s="42">
        <f>628331966747+206059*COS(2.678235+6283.07585*N42)+4303*COS(2.6351+12566.1517*N42)+425*COS(1.59+3.523*N42)+119*COS(5.796+26.298*N42)+109*COS(2.966+1577.344*N42)+93*COS(2.59+18849.23*N42)+72*COS(1.14+529.69*N42)+68*COS(1.87+398.15*N42)+67*COS(4.41+5507.55*N42)+59*COS(2.89+5223.69*N42)+56*COS(2.17+155.42*N42)+45*COS(0.4+796.3*N42)+36*COS(0.47+775.52*N42)+29*COS(2.65+7.11*N42)+21*COS(5.34+0.98*N42)+19*COS(1.85+5486.78*N42)+19*COS(4.97+213.3*N42)+17*COS(2.99+6275.96*N42)+16*COS(0.03+2544.31*N42)+16*COS(1.43+2146.17*N42)+15*COS(1.21+10977.08*N42)+12*COS(2.83+1748.02*N42)+12*COS(3.26+5088.63*N42)+12*COS(5.27+1194.45*N42)+12*COS(2.08+4694*N42)+11*COS(0.77+553.57*N42)+10*COS(1.3+6286.6*N42)+10*COS(4.24+1349.87*N42)+9*COS(2.7+242.73*N42)+9*COS(5.64+951.72*N42)+8*COS(5.3+2352.87*N42)+6*COS(2.65+9437.76*N42)+6*COS(4.67+4690.48*N42)</f>
        <v>628332009115.92053</v>
      </c>
      <c r="R42" s="42">
        <f>52919+8720*COS(1.0721+6283.0758*N42)+309*COS(0.867+12566.152*N42)+27*COS(0.05+3.52*N42)+16*COS(5.19+26.3*N42)+16*COS(3.68+155.42*N42)+10*COS(0.76+18849.23*N42)+9*COS(2.06+77713.77*N42)+7*COS(0.83+775.52*N42)+5*COS(4.66+1577.34*N42)+4*COS(1.03+7.11*N42)+4*COS(3.44+5573.14*N42)+3*COS(5.14+796.3*N42)+3*COS(6.05+5507.55*N42)+3*COS(1.19+242.73*N42)+3*COS(6.12+529.69*N42)+3*COS(0.31+398.15*N42)+3*COS(2.28+553.57*N42)+2*COS(4.38+5223.69*N42)+2*COS(3.75+0.98*N42)</f>
        <v>61417.566512512029</v>
      </c>
      <c r="S42" s="42">
        <f>289*COS(5.844+6283.076*N42)+35+17*COS(5.49+12566.15*N42)+3*COS(5.2+155.42*N42)+COS(4.72+3.52*N42)+COS(5.3+18849.23*N42)+COS(5.97+242.73*N42)</f>
        <v>-29.573241811286195</v>
      </c>
      <c r="T42" s="42">
        <f>114*COS(3.142)+8*COS(4.13+6283.08*N42)+COS(3.84+12566.15*N42)</f>
        <v>-121.32133725258986</v>
      </c>
      <c r="U42" s="41">
        <f>COS(3.14)</f>
        <v>-0.9999987317275395</v>
      </c>
      <c r="V42" s="41">
        <f>280*COS(3.199+84334.662*N42)+102*COS(5.422+5507.553*N42)+80*COS(3.88+5223.69*N42)+44*COS(3.7+2352.87*N42)+32*COS(4+1577.34*N42)</f>
        <v>60.86936869691344</v>
      </c>
      <c r="W42" s="41">
        <f>9*COS(3.9+5507.55*N42)+6*COS(1.73+5223.69*N42)</f>
        <v>-3.3035340620281373</v>
      </c>
      <c r="X42" s="42">
        <f>100013989+1670700*COS(3.0984635+6283.07585*N42)+13956*COS(3.05525+12566.1517*N42)+3084*COS(5.1985+77713.7715*N42)+1628*COS(1.1739+5753.3849*N42)+1576*COS(2.8469+7860.4194*N42)+925*COS(5.453+11506.77*N42)+542*COS(4.564+3930.21*N42)+472*COS(3.661+5884.927*N42)+346*COS(0.964+5507.553*N42)+329*COS(5.9+5223.694*N42)+307*COS(0.299+5573.143*N42)+243*COS(4.273+11790.629*N42)+212*COS(5.847+1577.344*N42)+186*COS(5.022+10977.079*N42)+175*COS(3.012+18849.228*N42)+110*COS(5.055+5486.778*N42)+98*COS(0.89+6069.78*N42)+86*COS(5.69+15720.84*N42)+86*COS(1.27+161000.69*N42)+65*COS(0.27+17260.15*N42)+63*COS(0.92+529.69*N42)+57*COS(2.01+83996.85*N42)+56*COS(5.24+71430.7*N42)+49*COS(3.25+2544.31*N42)+47*COS(2.58+775.52*N42)+45*COS(5.54+9437.76*N42)+43*COS(6.01+6275.96*N42)+39*COS(5.36+4694*N42)+38*COS(2.39+8827.39*N42)+37*COS(0.83+19651.05*N42)+37*COS(4.9+12139.55*N42)+36*COS(1.67+12036.46*N42)+35*COS(1.84+2942.46*N42)+33*COS(0.24+7084.9*N42)+32*COS(0.18+5088.63*N42)+32*COS(1.78+398.15*N42)+28*COS(1.21+6286.6*N42)+28*COS(1.9+6279.55*N42)+26*COS(4.59+10447.39*N42)</f>
        <v>99640964.397217557</v>
      </c>
      <c r="Y42" s="42">
        <f>103019*COS(1.10749+6283.07585*N42)+1721*COS(1.0644+12566.1517*N42)+702*COS(3.142)+32*COS(1.02+18849.23*N42)+31*COS(2.84+5507.55*N42)+25*COS(1.32+5223.69*N42)+18*COS(1.42+1577.34*N42)+10*COS(5.91+10977.08*N42)+9*COS(1.42+6275.96*N42)+9*COS(0.27+5486.78*N42)</f>
        <v>100630.373102912</v>
      </c>
      <c r="Z42" s="42">
        <f>4359*COS(5.7846+6283.0758*N42)+124*COS(5.579+12566.152*N42)+12*COS(3.14)+9*COS(3.63+77713.77*N42)+6*COS(1.87+5573.14*N42)+3*COS(5.47+18849.23*N42)</f>
        <v>-1086.6802726715985</v>
      </c>
      <c r="AA42" s="41">
        <f>145*COS(4.273+6283.076*N42)+7*COS(3.92+12566.15*N42)</f>
        <v>-141.47655457488094</v>
      </c>
      <c r="AB42" s="41">
        <f>4*COS(2.56+6283.08*N42)</f>
        <v>1.1953866733096823</v>
      </c>
      <c r="AC42" s="52">
        <f>MOD((((((U42*N42+T42)*N42+S42)*N42+R42)*N42+Q42)*N42+P42)/100000000+PI(),2*PI())</f>
        <v>3.5754167699356287</v>
      </c>
      <c r="AD42" s="41">
        <f>AC42+(-0.00031*B42-1.397)*B42*PI()/180</f>
        <v>3.5696147899045374</v>
      </c>
      <c r="AE42" s="52">
        <f>MOD((((((U42*N42+T42)*N42+S42)*N42+R42)*N42+Q42)*N42+P42)/100000000-0.09033*PI()/648000+PI(),2*PI())</f>
        <v>3.5754163320034422</v>
      </c>
      <c r="AF42" s="41">
        <f>L42+K42</f>
        <v>0.40908036393769875</v>
      </c>
      <c r="AG42" s="41">
        <f>(-0.0000001267*B42-0.000042037)*B42+0.016708634</f>
        <v>1.6698624264699785E-2</v>
      </c>
      <c r="AH42" s="41">
        <f>((0.00046*B42+1.71946)*B42+102.93735)*PI()/180</f>
        <v>1.8037369698804526</v>
      </c>
      <c r="AI42" s="41">
        <f>20.49552*PI()/648000</f>
        <v>9.9365084974541165E-5</v>
      </c>
      <c r="AJ42" s="41">
        <f>(N40*PI()/12)</f>
        <v>4.3234911000557075</v>
      </c>
      <c r="AK42" s="41">
        <f>(O40*PI()/180)</f>
        <v>-0.46221024801576144</v>
      </c>
      <c r="AL42" s="41">
        <f>(COS(AF42)+SIN(AF42)*SIN(AJ42)*TAN(AK42))*I42-COS(AJ42)*TAN(AK42)*K42</f>
        <v>-5.3070733784891388E-5</v>
      </c>
      <c r="AM42" s="41">
        <f>SIN(AF42)*COS(AJ42)*I42+SIN(AJ42)*K42</f>
        <v>-3.2260160705045326E-5</v>
      </c>
      <c r="AN42" s="41">
        <f>-AI42*(COS(AJ42)*COS(AE42)*COS(AF42)+SIN(AJ42)*SIN(AE42))/COS(AK42)+AG42*AI42*(COS(AJ42)*COS(AH42)*COS(AF42)+SIN(AJ42)*SIN(AH42))/COS(AK42)</f>
        <v>-7.9741827938917032E-5</v>
      </c>
      <c r="AO42" s="52">
        <f>-AI42*(COS(AE42)*COS(AF42)*(TAN(AF42)*COS(AK42)-SIN(AJ42)*SIN(AK42))+COS(AJ42)*SIN(AK42)*SIN(AE42))+AG42*AI42*(COS(AH42)*COS(AF42)*(TAN(AF42)*COS(AK42)-SIN(AJ42)*SIN(AK42))+COS(AJ42)*SIN(AK42)*SIN(AH42))</f>
        <v>5.3102566304115236E-6</v>
      </c>
      <c r="AP42" s="52">
        <f>INT(MOD((AJ42+AL42+AN42)*12/PI(),24)*36000+0.5)/36000</f>
        <v>16.513999999999999</v>
      </c>
      <c r="AQ42" s="52">
        <f>INT((AK42+AM42+AO42)*648000/PI()+0.5)/3600</f>
        <v>-26.484166666666667</v>
      </c>
      <c r="AR42" s="52"/>
      <c r="AS42" s="4"/>
      <c r="AT42" s="4"/>
      <c r="AU42" s="4"/>
      <c r="AV42" s="4"/>
      <c r="AW42" s="4"/>
      <c r="AX42" s="4"/>
      <c r="AY42" s="4"/>
      <c r="AZ42" s="4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</row>
    <row r="43" spans="1:109" hidden="1">
      <c r="A43" s="27"/>
      <c r="B43" s="84" t="s">
        <v>241</v>
      </c>
      <c r="C43" s="41"/>
      <c r="D43" s="41"/>
      <c r="E43" s="41"/>
      <c r="F43" s="41"/>
      <c r="G43" s="41"/>
      <c r="H43" s="42"/>
      <c r="I43" s="41"/>
      <c r="J43" s="42"/>
      <c r="K43" s="41"/>
      <c r="L43" s="41"/>
      <c r="M43" s="42"/>
      <c r="N43" s="41"/>
      <c r="O43" s="42"/>
      <c r="P43" s="42"/>
      <c r="Q43" s="42"/>
      <c r="R43" s="42"/>
      <c r="S43" s="42"/>
      <c r="T43" s="42"/>
      <c r="U43" s="41"/>
      <c r="V43" s="41"/>
      <c r="W43" s="41"/>
      <c r="X43" s="42"/>
      <c r="Y43" s="42"/>
      <c r="Z43" s="42"/>
      <c r="AA43" s="41"/>
      <c r="AB43" s="41"/>
      <c r="AC43" s="52"/>
      <c r="AD43" s="41"/>
      <c r="AE43" s="52"/>
      <c r="AF43" s="41"/>
      <c r="AG43" s="41"/>
      <c r="AH43" s="41"/>
      <c r="AI43" s="41"/>
      <c r="AJ43" s="41"/>
      <c r="AK43" s="41"/>
      <c r="AL43" s="41"/>
      <c r="AM43" s="41"/>
      <c r="AN43" s="41"/>
      <c r="AO43" s="52"/>
      <c r="AP43" s="52"/>
      <c r="AQ43" s="52"/>
      <c r="AR43" s="52"/>
      <c r="AS43" s="4"/>
      <c r="AT43" s="4"/>
      <c r="AU43" s="4"/>
      <c r="AV43" s="4"/>
      <c r="AW43" s="4"/>
      <c r="AX43" s="4"/>
      <c r="AY43" s="4"/>
      <c r="AZ43" s="4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</row>
    <row r="44" spans="1:109" ht="17.25" hidden="1">
      <c r="A44" s="2"/>
      <c r="B44" s="58"/>
      <c r="C44" s="9" t="s">
        <v>18</v>
      </c>
      <c r="D44" s="10"/>
      <c r="E44" s="10"/>
      <c r="F44" s="10"/>
      <c r="G44" s="10"/>
      <c r="H44" s="10"/>
      <c r="I44" s="10"/>
      <c r="J44" s="10"/>
      <c r="K44" s="11"/>
      <c r="L44" s="10"/>
      <c r="M44" s="10"/>
      <c r="N44" s="11" t="s">
        <v>11</v>
      </c>
      <c r="O44" s="10"/>
      <c r="P44" s="10"/>
      <c r="Q44" s="10"/>
      <c r="R44" s="12"/>
      <c r="S44" s="4"/>
      <c r="T44" s="4"/>
      <c r="U44" s="4"/>
      <c r="V44" s="4"/>
      <c r="W44" s="4"/>
      <c r="X44" s="4"/>
      <c r="Y44" s="13"/>
      <c r="Z44" s="13"/>
      <c r="AA44" s="13"/>
      <c r="AB44" s="13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5"/>
      <c r="AQ44" s="4"/>
      <c r="AR44" s="4" t="s">
        <v>274</v>
      </c>
      <c r="AS44" s="4" t="s">
        <v>275</v>
      </c>
      <c r="AT44" s="4"/>
      <c r="AU44" s="4"/>
      <c r="AV44" s="4"/>
      <c r="AW44" s="4"/>
      <c r="AX44" s="4"/>
      <c r="AY44" s="4"/>
      <c r="AZ44" s="4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</row>
    <row r="45" spans="1:109" ht="17.25" hidden="1">
      <c r="A45" s="6" t="s">
        <v>138</v>
      </c>
      <c r="B45" s="4" t="s">
        <v>140</v>
      </c>
      <c r="C45" s="14" t="s">
        <v>99</v>
      </c>
      <c r="D45" s="14" t="s">
        <v>210</v>
      </c>
      <c r="E45" s="14" t="s">
        <v>101</v>
      </c>
      <c r="F45" s="14" t="s">
        <v>102</v>
      </c>
      <c r="G45" s="14" t="s">
        <v>211</v>
      </c>
      <c r="H45" s="7" t="s">
        <v>9</v>
      </c>
      <c r="I45" s="15" t="s">
        <v>105</v>
      </c>
      <c r="J45" s="7" t="s">
        <v>10</v>
      </c>
      <c r="K45" s="15" t="s">
        <v>107</v>
      </c>
      <c r="L45" s="15" t="s">
        <v>214</v>
      </c>
      <c r="M45" s="15" t="s">
        <v>127</v>
      </c>
      <c r="N45" s="3" t="s">
        <v>99</v>
      </c>
      <c r="O45" s="3" t="s">
        <v>210</v>
      </c>
      <c r="P45" s="3" t="s">
        <v>101</v>
      </c>
      <c r="Q45" s="3" t="s">
        <v>102</v>
      </c>
      <c r="R45" s="4" t="s">
        <v>12</v>
      </c>
      <c r="S45" s="4" t="s">
        <v>13</v>
      </c>
      <c r="T45" s="4" t="s">
        <v>14</v>
      </c>
      <c r="U45" s="13" t="s">
        <v>15</v>
      </c>
      <c r="V45" s="13" t="s">
        <v>16</v>
      </c>
      <c r="W45" s="3" t="s">
        <v>24</v>
      </c>
      <c r="X45" s="13" t="s">
        <v>17</v>
      </c>
      <c r="Y45" s="13" t="s">
        <v>19</v>
      </c>
      <c r="Z45" s="13" t="s">
        <v>20</v>
      </c>
      <c r="AA45" s="3" t="s">
        <v>25</v>
      </c>
      <c r="AB45" s="13" t="s">
        <v>21</v>
      </c>
      <c r="AC45" s="13" t="s">
        <v>22</v>
      </c>
      <c r="AD45" s="3" t="s">
        <v>246</v>
      </c>
      <c r="AE45" s="4" t="s">
        <v>247</v>
      </c>
      <c r="AF45" s="4" t="s">
        <v>26</v>
      </c>
      <c r="AG45" s="4" t="s">
        <v>27</v>
      </c>
      <c r="AH45" s="4" t="s">
        <v>28</v>
      </c>
      <c r="AI45" s="4" t="s">
        <v>29</v>
      </c>
      <c r="AJ45" s="3" t="s">
        <v>30</v>
      </c>
      <c r="AK45" s="4" t="s">
        <v>31</v>
      </c>
      <c r="AL45" s="4" t="s">
        <v>32</v>
      </c>
      <c r="AM45" s="4" t="s">
        <v>33</v>
      </c>
      <c r="AN45" s="4" t="s">
        <v>34</v>
      </c>
      <c r="AO45" s="4" t="s">
        <v>139</v>
      </c>
      <c r="AP45" s="4" t="s">
        <v>270</v>
      </c>
      <c r="AQ45" s="4" t="s">
        <v>271</v>
      </c>
      <c r="AR45" s="4" t="s">
        <v>273</v>
      </c>
      <c r="AS45" s="4" t="s">
        <v>272</v>
      </c>
      <c r="AT45" s="4"/>
      <c r="AU45" s="4"/>
      <c r="AV45" s="4"/>
      <c r="AW45" s="4"/>
      <c r="AX45" s="4"/>
      <c r="AY45" s="4"/>
      <c r="AZ45" s="4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</row>
    <row r="46" spans="1:109" ht="17.25" hidden="1">
      <c r="A46" s="2">
        <v>-1</v>
      </c>
      <c r="B46" s="4">
        <f>B47-1/876600</f>
        <v>0.23793178188455394</v>
      </c>
      <c r="C46" s="8">
        <f>MOD((((0.064*B46+31.31)*B46+1717915922.633)*B46+485866.733)/3600,360)*PI()/180</f>
        <v>4.8125762428767267</v>
      </c>
      <c r="D46" s="8">
        <f>MOD((((-0.012*B46-0.577)*B46+(99*1296000+1292581.224)*B46)+1287099.804)/3600,360)*PI()/180</f>
        <v>4.9365918565228233</v>
      </c>
      <c r="E46" s="8">
        <f>MOD((((0.011*B46-13.257)*B46+1739527263.137*B46)+335778.877)/3600,360)*PI()/180</f>
        <v>3.8814041662043191</v>
      </c>
      <c r="F46" s="8">
        <f>MOD((((0.019*B46-6.891)*B46+1602961601.328*B46)+1072261.307)/3600,360)*PI()/180</f>
        <v>0.71640803715046864</v>
      </c>
      <c r="G46" s="8">
        <f>MOD((((0.008*B46+7.455)*B46-6962890.539*B46)+450160.28)/3600,360)*PI()/180</f>
        <v>0.43375844309462119</v>
      </c>
      <c r="H46" s="7">
        <f t="shared" ref="H46:H73" si="0">SIN(G46)*(-171996-174.2*B46)+SIN(2*G46)*(2062+0.2*B46)+SIN(2*(-C46+E46)+G46)*46+SIN(2*(C46-E46))*11+SIN(2*(-C46+E46+G46))*-3+SIN(C46-D46-F46)*-3+SIN(2*(-D46+E46-F46)+G46)*-2+SIN(2*(C46-E46)+G46)+SIN(2*(E46-F46+G46))*(-13187-1.6*B46)+SIN(D46)*(1426-3.4*B46)+SIN(D46+2*(E46-F46+G46))*(-517+1.2*B46)+SIN(-D46+2*(E46-F46+G46))*(217-0.5*B46)+SIN(2*(E46-F46)+G46)*(129+0.1*B46)+SIN(2*(C46-F46))*48+SIN(2*(E46-F46))*-22+SIN(2*D46)*(17-0.1*B46)+SIN(D46+G46)*-15+SIN(2*(D46+E46-F46+G46))*(-16+0.1*B46)+SIN(-D46+G46)*-12+SIN(2*(-C46+F46)+G46)*-6+SIN(-D46+2*(E46-F46)+G46)*-5+SIN(2*(C46-F46)+G46)*4+SIN(2*(E46-F46)+G46)*4+SIN(C46-F46)*-4+SIN(2*(C46-F46)+D46)+SIN(2*(-E46+F46)+G46)-SIN(D46+2*(-E46+F46))+SIN(D46+2*G46)+SIN(-C46+F46+G46)-SIN(D46+2*(E46-F46))+SIN(2*E46+2*G46)*(-2274-0.2*B46)+SIN(C46)*(712+0.1*B46)+SIN(2*E46+G46)*(-386-0.4*B46)+SIN(C46+2*(E46+G46))*-301+SIN(C46-2*F46)*-158+SIN(-C46+2*(E46+G46))*123+SIN(2*F46)*63+SIN(C46+G46)*(63+0.1*B46)+SIN(-C46+G46)*(-58-0.1*B46)+SIN(-C46+2*(E46+F46+G46))*-59+SIN(C46+2*E46+G46)*-51+SIN(2*(E46+F46+G46))*-38+SIN(2*C46)*29+SIN(C46+2*(E46-F46+G46))*29+SIN(2*(C46+E46+G46))*-31+SIN(2*E46)*26+SIN(-C46+2*E46+G46)*21+SIN(-C46+2*F46+G46)*16+SIN(C46-2*F46+G46)*-13+SIN(-C46+2*(E46+F46)+G46)*-10+SIN(C46+D46-2*F46)*-7+SIN(D46+2*(E46+G46))*7+SIN(-D46+2*(E46+G46))*-7</f>
        <v>-85014.64999917752</v>
      </c>
      <c r="I46" s="8">
        <f t="shared" ref="I46:I73" si="1">(H46+SIN(C46+2*(E46+F46+G46))*-8+SIN(C46+2*F46)*6+SIN(2*(C46+E46-F46+G46))*6+SIN(2*F46+G46)*-6+SIN(2*(E46+F46)+G46)*-7+SIN(C46+2*(E46-F46)+G46)*6+SIN(-2*F46+G46)*-5+SIN(C46-D46)*5+SIN(2*(C46+E46)+G46)*-5+SIN(D46-2*F46)*-4+SIN(C46-2*E46)*4+SIN(F46)*-4+SIN(C46+D46)*-3+SIN(C46+2*E46)*3+SIN(C46-D46+2*(E46+G46))*-3+SIN(-C46-D46+2*(E46+F46+G46))*-3+SIN(-2*C46+G46)*-2+SIN(3*C46+2*(E46+G46))*-3+SIN(-D46+2*(E46+F46+G46))*-3+SIN(C46+D46+2*(E46+G46))*2+SIN(-C46+2*(E46-F46)+G46)*-2+SIN(2*C46+G46)*2+SIN(C46+2*G46)*-2+SIN(3*C46)*2+SIN(2*(E46+G46)+F46)*2+SIN(-C46+2*G46)-SIN(C46-4*F46)+SIN(2*(-C46+E46+F46+G46))+SIN(-C46+2*(E46+2*F46+G46))*-2-SIN(2*(C46-2*F46))+SIN(C46+D46+2*(E46-F46+G46))-SIN(C46+2*(E46+F46)+G46)-SIN(2*(-C46+E46+2*F46+G46))+SIN(-C46+2*(2*E46+G46))+SIN(C46-D46-2*F46)+SIN(2*(C46+E46-F46)+G46)-SIN(2*(C46+E46+F46+G46))-SIN(C46+2*F46+G46)+SIN(2*(2*E46-F46+G46))+SIN(3*C46+2*(E46-F46+G46))-SIN(C46+2*(E46-F46))+SIN(D46+2*E46+G46)+SIN(-C46-D46+2*F46+G46)-SIN(-2*E46+G46)-SIN(2*E46-F46+2*G46)-SIN(D46+2*F46)-SIN(C46+2*(-E46-F46))-SIN(-D46+2*E46+G46)-SIN(C46+D46-2*F46+G46)-SIN(C46+2*(-E46+F46))+SIN(2*(C46+F46))-SIN(2*(E46+2*F46+G46))+SIN(D46+F46))*PI()/6480000000</f>
        <v>-4.12257139320789E-5</v>
      </c>
      <c r="J46" s="7">
        <f t="shared" ref="J46:J73" si="2">COS(G46)*(92025+8.9*B46)+COS(2*G46)*(-895+0.5*B46)+COS(2*(-C46+E46)+G46)*-24+COS(2*(-C46+E46+G46))+COS(2*(-D46+E46-F46)+G46)+COS(2*(E46-F46+G46))*(5736-3.1*B46)+COS(D46)*(54-0.1*B46)+COS(D46+2*(E46-F46+G46))*(224-0.6*B46)+COS(-D46+2*(E46-F46+G46))*(-95-0.3*B46)+COS(2*(E46-F46)+G46)*-70+COS(2*(C46-F46))+COS(D46+G46)*9+COS(2*(D46+E46-F46+G46))*7+COS(-D46+G46)*6+COS(2*(-C46+F46)+G46)*3+COS(-D46+2*(E46-F46)+G46)*3+COS(2*(C46-F46)+G46)*-2+COS(D46+2*(E46-F46)+G46)*-2+COS(PI()/2)+COS(PI()/2)+COS(PI()/2)+COS(PI()/2)+COS(PI()/2)+COS(PI()/2)+COS(2*E46+2*G46)*(977-0.5*B46)+COS(C46)*-7+COS(2*E46+G46)*200+COS(C46+2*(E46+G46))*(129-0.1*B46)-COS(C46-2*F46)+COS(-C46+2*(E46+G46))*-53+COS(2*F46)*-2+COS(C46+G46)*-33+COS(-C46+G46)*32+COS(-C46+2*(E46+F46+G46))*26+COS(C46+2*E46+G46)*27+COS(2*(E46+F46+G46))*16-COS(2*C46)+COS(C46+2*(E46-F46+G46))*-12+COS(2*(C46+E46+G46))*13-COS(2*E46)+COS(-C46+2*E46+G46)*-10+COS(-C46+2*F46+G46)*-8+COS(C46-2*F46+G46)*7+COS(-C46+2*(E46+F46)+G46)*5+COS(D46+2*(E46+G46))*-3+COS(-D46+2*(E46+G46))*3</f>
        <v>86018.022384903175</v>
      </c>
      <c r="K46" s="8">
        <f t="shared" ref="K46:K73" si="3">(J46+COS(C46+2*(E46+F46+G46))*3+COS(2*(C46+E46-F46+G46))*-3+COS(2*F46+G46)*3+COS(2*(E46+F46)+G46)*3+COS(C46+2*(E46-F46)+G46)*-3+COS(-2*F46+G46)*3+COS(2*(C46+E46)+G46)*3+COS(C46-D46+2*(E46+G46))+COS(-C46-D46+2*(E46+F46+G46))+COS(-2*C46+G46)+COS(3*C46+2*(E46+G46))+COS(-D46+2*(E46+F46+G46))-COS(C46+D46+2*(E46+G46))+COS(-C46+2*(E46-F46)+G46)-COS(2*C46+G46)+COS(C46+2*G46)-COS(2*(E46+G46)+F46)-COS(-C46+2*G46)-COS(2*(-C46+E46+F46+G46))+COS(-C46+2*(E46+2*F46+G46))-COS(C46+D46+2*(E46-F46+G46))+COS(C46+2*(E46+F46)+G46)+COS(2*(-C46+E46+2*F46+G46))-COS(2*(C46+E46-F46)+G46))*PI()/6480000000</f>
        <v>4.1702179320856342E-5</v>
      </c>
      <c r="L46" s="8">
        <f>(((((((((((245*B46/100+579)*B46/100+2787)*B46/100+712)*B46/100-3905)*B46/100-24967)*B46/100-5138)*B46/1007+199925)*B46/100-155)*B46/100-468093)*B46/100+158144.8)/360000+23)*PI()/180</f>
        <v>0.40903880857369601</v>
      </c>
      <c r="M46" s="8">
        <f>L46+K46</f>
        <v>0.40908051075301688</v>
      </c>
      <c r="N46" s="17">
        <f>MOD(2*PI()*(0.37489701+(0.00002565*B46+1325.55240982)*B46)+(2.94*SIN(2*PI()*(0.19833+0.05611*B46))+0.31*SIN(2*PI()*(0.27869+0.04508*B46))+14.27*SIN(2*PI()*(0.16827-0.36903*B46))+9.34*SIN(2*PI()*(0.34734-5.37261*B46))+1.12*SIN(2*PI()*(0.10498-5.37899*B46))+0.83*SIN(2*PI()*(0.42681-0.41855*B46)))*PI()/648000,2*PI())</f>
        <v>4.8126428883061791</v>
      </c>
      <c r="O46" s="17">
        <f>MOD(2*PI()*(0.99312619+(-0.00000044*B46+99.99735956)*B46)+(-6.4*SIN(2*PI()*(0.19833+0.05611*B46))-1.89*SIN(2*PI()*(0.42681-0.41855*B46)))*PI()/648000,2*PI())</f>
        <v>4.9365103455479868</v>
      </c>
      <c r="P46" s="17">
        <f>MOD(2*PI()*(0.25909118+(-0.00000892*B46+1342.2278298)*B46)+(0.21*SIN(2*PI()*(0.19833+0.05611*B46))+0.31*SIN(2*PI()*(0.27869+0.04508*B46))+14.27*SIN(2*PI()*(0.16827-0.36903*B46))-88.7*SIN(2*PI()*(0.34734-5.37261*B46))-15.3*SIN(2*PI()*(0.10498-5.37899*B46))+0.24*SIN(2*PI()*(0.42681-0.41855*B46))-1.86*SIN(2*PI()*(0.14943-5.37511*B46)))*PI()/648000,2*PI())</f>
        <v>3.8813660694422865</v>
      </c>
      <c r="Q46" s="17">
        <f>MOD(2*PI()*(0.82736186+(-0.00000397*B46+1236.85308708)*B46)+(7.24*SIN(2*PI()*(0.19833+0.05611*B46))+0.31*SIN(2*PI()*(0.27869+0.04508*B46))+14.27*SIN(2*PI()*(0.16827-0.36903*B46))+7.26*SIN(2*PI()*(0.34734-5.37261*B46))+0.28*SIN(2*PI()*(0.10498-5.37899*B46))+2.13*SIN(2*PI()*(0.42681-0.41855*B46)))*PI()/648000,2*PI())</f>
        <v>0.71650416110545478</v>
      </c>
      <c r="R46" s="17">
        <f>1.000002208</f>
        <v>1.0000022079999999</v>
      </c>
      <c r="S46" s="17">
        <f>1-0.002495388*(B46+1)</f>
        <v>0.99691087988666671</v>
      </c>
      <c r="T46" s="17">
        <f>1.000002708+139.978*((SIN(2*PI()*(0.59734-5.37261*B46))*-3332+SIN(2*PI()*(0.35498-5.37899*B46))*-539+SIN(2*PI()*(0.39943-5.37511*B46))*-64)/1000000000)</f>
        <v>0.99953901351976626</v>
      </c>
      <c r="U46" s="17">
        <f>13.902*SIN(4*Q46)+0.403*SIN(3*Q46)+2369.912*SIN(2*Q46)-125.154*SIN(Q46)+(1.979*SIN(N46+4*Q46)+191.953*SIN(N46+2*Q46)-8.466*SIN(N46+Q46)+22639.5*SIN(N46)+18.609*SIN(N46-Q46)-4586.465*SIN(N46-2*Q46)+3.215*SIN(N46-3*Q46)-38.428*SIN(N46-4*Q46)-0.393*SIN(N46-6*Q46))*R46+(-0.289*SIN(O46+4*Q46)-24.42*SIN(O46+2*Q46)+18.023*SIN(O46+Q46)-668.146*SIN(O46)+0.56*SIN(O46-Q46)-165.145*SIN(O46-2*Q46)-1.877*SIN(O46-4*Q46))*S46+(0.213*SIN(2*N46+4*Q46)+14.387*SIN(2*N46+2*Q46)-0.586*SIN(2*N46+Q46)+769.016*SIN(2*N46)+1.75*SIN(2*N46-Q46)-211.656*SIN(2*N46-2*Q46)+1.225*SIN(2*N46-3*Q46)-30.773*SIN(2*N46-4*Q46)-0.57*SIN(2*N46-6*Q46))*R46*R46+(-2.921*SIN(N46+O46+2*Q46)+1.267*SIN(N46+O46+Q46)-109.673*SIN(N46+O46)-205.962*SIN(N46+O46-2*Q46)+0.233*SIN(N46+O46-3*Q46)-4.391*SIN(N46+O46-4*Q46)+0.283*SIN(N46-O46+4*Q46)+14.577*SIN(N46-O46+2*Q46)+147.687*SIN(N46-O46)-1.089*SIN(N46-O46-Q46)+28.475*SIN(N46-O46-2*Q46)-0.276*SIN(N46-O46-3*Q46)+0.636*SIN(N46-O46-4*Q46))*R46*S46+(-0.189*SIN(2*O46+2*Q46)-7.486*SIN(2*O46)-8.096*SIN(2*O46-2*Q46))*S46*S46+(-5.741*SIN(2*P46+2*Q46)+0.255*SIN(2*P46+Q46)-411.608*SIN(2*P46)+0.584*SIN(2*P46-Q46)-55.173*SIN(2*P46-2*Q46)+0.254*SIN(2*P46-3*Q46)+0.025*SIN(2*P46-4*Q46))*T46*T46</f>
        <v>-19507.048148327322</v>
      </c>
      <c r="V46" s="17">
        <f>14.06*SIN(4*Q46)-4.01*SIN(3*Q46)+2373.36*SIN(2*Q46)-112.79*SIN(Q46)+(6.98*SIN(N46+4*Q46)+192.72*SIN(N46+2*Q46)-13.51*SIN(N46+Q46)+22609.07*SIN(N46)+3.59*SIN(N46-Q46)-4578.13*SIN(N46-2*Q46)+5.44*SIN(N46-3*Q46)-38.64*SIN(N46-4*Q46)-1.43*SIN(N46-6*Q46))*R46+(-1.59*SIN(O46+4*Q46)-25.1*SIN(O46+2*Q46)+17.93*SIN(O46+Q46)-126.98*SIN(O46)+0.32*SIN(O46-Q46)-165.06*SIN(O46-2*Q46)-6.46*SIN(O46-4*Q46))*S46+(1.02*SIN(2*N46+4*Q46)+14.78*SIN(2*N46+2*Q46)-1.2*SIN(2*N46+Q46)+767.96*SIN(2*N46)+2.01*SIN(2*N46-Q46)-152.53*SIN(2*N46-2*Q46)+0.91*SIN(2*N46-3*Q46)-34.07*SIN(2*N46-4*Q46)-1.4*SIN(2*N46-6*Q46))*R46*R46+(-11.75*SIN(N46+O46+2*Q46)+1.52*SIN(N46+O46+Q46)-115.18*SIN(N46+O46)-182.36*SIN(N46+O46-2*Q46)+0.36*SIN(N46+O46-3*Q46)-9.66*SIN(N46+O46-4*Q46)+1.53*SIN(N46-O46+4*Q46)+31.7*SIN(N46-O46+2*Q46)+138.76*SIN(N46-O46)+0.55*SIN(N46-O46-Q46)+23.59*SIN(N46-O46-2*Q46)-0.38*SIN(N46-O46-3*Q46)+2.27*SIN(N46-O46-4*Q46))*R46*S46+(-1.68*SIN(2*O46+2*Q46)-0.66*SIN(2*O46)-16.35*SIN(2*O46-2*Q46))*S46*S46+(-0.04*SIN(2*P46+2*Q46)-0.2*SIN(2*P46)+0.84*SIN(2*P46-Q46)-52.14*SIN(2*P46-2*Q46)+0.25*SIN(2*P46-3*Q46)-1.67*SIN(2*P46-4*Q46))*T46*T46</f>
        <v>-19472.053483966865</v>
      </c>
      <c r="W46" s="17">
        <f>-0.001*COS(4*Q46)+0.394*COS(3*Q46)+0.601*COS(2*Q46)-0.725*COS(Q46)+(-0.445*COS(N46+4*Q46)+0.029*COS(N46+2*Q46)+0.455*COS(N46+Q46)+0.079*COS(N46)-0.094*COS(N46-Q46)-0.077*COS(N46-2*Q46)+0.192*COS(N46-3*Q46)+0.001*COS(N46-4*Q46)-0.092*COS(N46-6*Q46))*R46+(0.123*COS(O46+4*Q46)+0.04*COS(O46+2*Q46)+0.007*COS(O46+Q46)-1.302*COS(O46)-0.001*COS(O46-Q46)+0.054*COS(O46-2*Q46)-0.416*COS(O46-4*Q46))*S46+(-0.074*COS(2*N46+4*Q46)-0.017*COS(2*N46+2*Q46)+0.054*COS(2*N46+Q46)+0.107*COS(2*N46)-0.018*COS(2*N46-Q46)+5.679*COS(2*N46-2*Q46)-0.03*COS(2*N46-3*Q46)-0.308*COS(2*N46-4*Q46)-0.074*COS(2*N46-6*Q46))*R46*R46+(0.787*COS(N46+O46+2*Q46)-0.022*COS(N46+O46+Q46)+0.461*COS(N46+O46)+2.056*COS(N46+O46-2*Q46)+0.012*COS(N46+O46-3*Q46)-0.471*COS(N46+O46-4*Q46)-0.111*COS(N46-O46+4*Q46)-1.54*COS(N46-O46+2*Q46)+0.679*COS(N46-O46)+0.021*COS(N46-O46-Q46)-0.443*COS(N46-O46-2*Q46)-0.006*COS(N46-O46-3*Q46)+0.146*COS(N46-O46-4*Q46))*R46*S46+(0.131*COS(2*O46+2*Q46)-0.037*COS(2*O46)-0.74*COS(2*O46-2*Q46))*S46*S46</f>
        <v>-3.8600770040821271</v>
      </c>
      <c r="X46" s="17">
        <f>0.2607*COS(4*Q46)+0.0023*COS(3*Q46)+28.2333*COS(2*Q46)-0.9781*COS(Q46)+(0.0433*COS(N46+4*Q46)+3.0861*COS(N46+2*Q46)-0.1093*COS(N46+Q46)+186.5398*COS(N46)+0.0118*COS(N46-Q46)+34.3117*COS(N46-2*Q46)-0.0386*COS(N46-3*Q46)+0.6008*COS(N46-4*Q46)+0.0086*COS(N46-6*Q46))*R46+(-0.0053*COS(O46+4*Q46)-0.3*COS(O46+2*Q46)+0.1494*COS(O46+Q46)-0.3997*COS(O46)-0.0037*COS(O46-Q46)+1.9178*COS(O46-2*Q46)+0.0339*COS(O46-4*Q46))*S46+(0.0054*COS(2*N46+4*Q46)+0.2833*COS(2*N46+2*Q46)-0.01*COS(2*N46+Q46)+10.1657*COS(2*N46)+0.0155*COS(2*N46-Q46)-0.3039*COS(2*N46-2*Q46)-0.0088*COS(2*N46-3*Q46)+0.3722*COS(2*N46-4*Q46)+0.0109*COS(2*N46-6*Q46))*R46*R46+(-0.0484*COS(N46+O46+2*Q46)+0.0164*COS(N46+O46+Q46)-0.949*COS(N46+O46)+1.4437*COS(N46+O46-2*Q46)-0.0025*COS(N46+O46-3*Q46)+0.0673*COS(N46+O46-4*Q46)+0.006*COS(N46-O46+4*Q46)+0.2302*COS(N46-O46+2*Q46)+1.1528*COS(N46-O46)-0.2257*COS(N46-O46-2*Q46)-0.0036*COS(N46-O46-3*Q46)-0.0102*COS(N46-O46-4*Q46))*R46*S46+(-0.0028*COS(2*O46+2*Q46)-0.0086*COS(2*O46)+0.0918*COS(2*O46-2*Q46))*S46*S46+(-0.0009*COS(2*P46+2*Q46)-0.0124*COS(2*P46)+0.0071*COS(2*P46-Q46)-0.1052*COS(2*P46-2*Q46)-0.0017*COS(2*P46-3*Q46)+0.0031*COS(2*P46-4*Q46))*T46*T46</f>
        <v>-19.188738626542992</v>
      </c>
      <c r="Y46" s="17">
        <f>U46+(1.06*SIN(3*N46+2*Q46)+36.124*SIN(3*N46)-13.193*SIN(3*N46-2*Q46)-1.187*SIN(3*N46-4*Q46)-0.293*SIN(3*N46-6*Q46))*R46*R46*R46+(-0.29*SIN(2*N46+O46+2*Q46)-7.649*SIN(2*N46+O46)-8.627*SIN(2*N46+O46-2*Q46)-2.74*SIN(2*N46+O46-4*Q46)+1.181*SIN(2*N46-O46+2*Q46)+9.703*SIN(2*N46-O46)-0.352*SIN(2*N46-O46-Q46)-2.494*SIN(2*N46-O46-2*Q46)+0.36*SIN(2*N46-O46-4*Q46))*R46*R46*S46+(-1.167*SIN(N46+2*O46)-7.412*SIN(N46+2*O46-2*Q46)-0.311*SIN(N46+2*O46-4*Q46)+0.757*SIN(N46-2*O46+2*Q46)+2.58*SIN(N46-2*O46)+2.533*SIN(N46-2*O46-2*Q46))*R46*S46*S46-0.344*SIN(3*O46-2*Q46)*S46*S46*S46+(-0.992*SIN(N46+2*P46+2*Q46)-45.099*SIN(N46+2*P46)-0.179*SIN(N46+2*P46-2*Q46)-0.301*SIN(N46+2*P46-4*Q46)-6.382*SIN(N46-2*P46+2*Q46)+39.528*SIN(N46-2*P46)+9.366*SIN(N46-2*P46-2*Q46)+0.202*SIN(N46-2*P46-4*Q46))*R46*T46*T46+(0.415*SIN(O46+2*P46)-2.152*SIN(O46+2*P46-2*Q46)-1.44*SIN(O46-2*P46+2*Q46)+0.384*SIN(O46-2*P46-2*Q46))*S46*T46*T46+(1.938*SIN(4*N46)-0.952*SIN(4*N46-2*Q46))*R46*R46*R46*R46+(-0.551*SIN(3*N46+O46)-0.482*SIN(3*N46+O46-2*Q46)+0.681*SIN(3*N46-O46))*R46*R46*R46*S46+(-0.297*SIN(2*N46+2*O46-2*Q46)+0.254*SIN(2*N46-2*O46-2*Q46))*R46*R46*S46*S46-0.25*SIN(N46+3*O46-2*Q46)*R46*S46*S46*S46+(-3.996*SIN(2*N46+2*P46)+0.557*SIN(2*N46+2*P46-2*Q46)-0.459*SIN(2*N46-2*P46+2*Q46)-1.298*SIN(2*N46-2*P46)+0.538*SIN(2*N46-2*P46-2*Q46))*R46*R46*T46*T46+(0.263*SIN(N46+O46+2*P46)+0.426*SIN(N46+O46-2*P46-2*Q46)-0.304*SIN(N46-O46+2*P46)-0.372*SIN(N46-O46-2*P46+2*Q46))*R46*S46*T46*T46+0.418*SIN(4*P46)*T46*T46*T46*T46-0.33*SIN(3*N46+2*P46)*R46*R46*R46*T46*T46</f>
        <v>-19483.880694415344</v>
      </c>
      <c r="Z46" s="17">
        <f>V46+(2.96*SIN(3*N46+2*Q46)+50.64*SIN(3*N46)-16.4*SIN(3*N46-2*Q46)-0.74*SIN(3*N46-4*Q46)-0.31*SIN(3*N46-6*Q46))*R46*R46*R46+(-1.45*SIN(2*N46+O46+2*Q46)-10.56*SIN(2*N46+O46)-7.59*SIN(2*N46+O46-2*Q46)-2.54*SIN(2*N46+O46-4*Q46)+3.32*SIN(2*N46-O46+2*Q46)+11.67*SIN(2*N46-O46)-0.37*SIN(2*N46-O46-Q46)-1.17*SIN(2*N46-O46-2*Q46)+0.2*SIN(2*N46-O46-4*Q46))*R46*R46*S46+(-1.25*SIN(N46+2*O46)-6.12*SIN(N46+2*O46-2*Q46)-0.65*SIN(N46+2*O46-4*Q46)+1.82*SIN(N46-2*O46+2*Q46)+2.32*SIN(N46-2*O46)+2.4*SIN(N46-2*O46-2*Q46))*R46*S46*S46-0.57*SIN(3*O46-2*Q46)*S46*S46*S46+(-0.02*SIN(N46+2*P46+2*Q46)-0.02*SIN(N46+2*P46)-9.52*SIN(N46+2*P46-2*Q46)-0.33*SIN(N46+2*P46-4*Q46)-3.37*SIN(N46-2*P46+2*Q46)+85.13*SIN(N46-2*P46)+0.71*SIN(N46-2*P46-2*Q46)+0.02*SIN(N46-2*P46-4*Q46))*R46*T46*T46+(0.1*SIN(O46+2*P46)-2.26*SIN(O46+2*P46-2*Q46)-1.3*SIN(O46-2*P46+2*Q46)-0.04*SIN(O46-2*P46-2*Q46))*S46*T46*T46+(3.6*SIN(4*N46)-1.58*SIN(4*N46-2*Q46))*R46*R46*R46*R46+(-0.94*SIN(3*N46+O46)-0.57*SIN(3*N46+O46-2*Q46)+0.96*SIN(3*N46-O46))*R46*R46*R46*S46+(-0.27*SIN(2*N46+2*O46-2*Q46)+0.21*SIN(2*N46-2*O46-2*Q46))*R46*R46*S46*S46-0.22*SIN(N46+3*O46-2*Q46)*R46*S46*S46*S46+(-0.75*SIN(2*N46+2*P46-2*Q46)-0.38*SIN(2*N46-2*P46+2*Q46)+0.74*SIN(2*N46-2*P46)+1.14*SIN(2*N46-2*P46-2*Q46))*R46*R46*T46*T46+(0.02*SIN(N46+O46+2*P46)+0.07*SIN(N46+O46-2*P46-2*Q46)+0.03*SIN(N46-O46+2*P46)-0.19*SIN(N46-O46-2*P46+2*Q46))*R46*S46*T46*T46-0.04*SIN(3*N46+2*P46)*R46*R46*R46*T46*T46</f>
        <v>-19450.474087681221</v>
      </c>
      <c r="AA46" s="17">
        <f>W46+(-0.166*COS(3*N46+2*Q46)-1.3*COS(3*N46)+0.258*COS(3*N46-2*Q46)+0.042*COS(3*N46-4*Q46)-0.002*COS(3*N46-6*Q46))*R46*R46*R46+(0.116*COS(2*N46+O46+2*Q46)+0.259*COS(2*N46+O46)+0.078*COS(2*N46+O46-2*Q46)+0.022*COS(2*N46+O46-4*Q46)-0.212*COS(2*N46-O46+2*Q46)-0.151*COS(2*N46-O46)+0.001*COS(2*N46-O46-Q46)-0.003*COS(2*N46-O46-2*Q46)-0.012*COS(2*N46-O46-4*Q46))*R46*R46*S46+(0.008*COS(N46+2*O46)+0.117*COS(N46+2*O46-2*Q46)-0.032*COS(N46+2*O46-4*Q46)-0.105*COS(N46-2*O46+2*Q46)+0.027*COS(N46-2*O46)-0.014*COS(N46-2*O46-2*Q46))*R46*S46*S46-0.025*COS(3*O46-2*Q46)*S46*S46*S46+(-0.145*COS(4*N46)+0.052*COS(4*N46-2*Q46))*R46*R46*R46*R46+(0.032*COS(3*N46+O46)+0.005*COS(3*N46+O46-2*Q46)-0.026*COS(3*N46-O46))*R46*R46*R46*S46+(0.002*COS(2*N46+2*O46-2*Q46)-0.003*COS(2*N46-2*O46-2*Q46))*R46*R46*S46*S46+0.004*COS(N46+3*O46-2*Q46)*R46*S46*S46*S46</f>
        <v>-3.3025241046016443</v>
      </c>
      <c r="AB46" s="17">
        <f>X46+(0.0243*COS(3*N46+2*Q46)+0.6215*COS(3*N46)-0.1187*COS(3*N46-2*Q46)+0.0074*COS(3*N46-4*Q46)+0.0046*COS(3*N46-6*Q46))*R46*R46*R46+(-0.0051*COS(2*N46+O46+2*Q46)-0.1038*COS(2*N46+O46)-0.0192*COS(2*N46+O46-2*Q46)+0.0324*COS(2*N46+O46-4*Q46)+0.0213*COS(2*N46-O46+2*Q46)+0.1268*COS(2*N46-O46)-0.0028*COS(2*N46-O46-Q46)-0.0017*COS(2*N46-O46-2*Q46)-0.0043*COS(2*N46-O46-4*Q46))*R46*R46*S46+(-0.0106*COS(N46+2*O46)+0.0484*COS(N46+2*O46-2*Q46)+0.0044*COS(N46+2*O46-4*Q46)+0.0112*COS(N46-2*O46+2*Q46)+0.0196*COS(N46-2*O46)-0.0212*COS(N46-2*O46-2*Q46))*R46*S46*S46+0.0036*COS(3*O46-2*Q46)*S46*S46*S46+(-0.001*COS(N46+2*P46)-0.0833*COS(N46+2*P46-2*Q46)+0.0014*COS(N46+2*P46-4*Q46)-0.0481*COS(N46-2*P46+2*Q46)-0.7136*COS(N46-2*P46)-0.0112*COS(N46-2*P46-2*Q46))*R46*T46*T46+(0.0013*COS(O46+2*P46)-0.0066*COS(O46+2*P46-2*Q46)+0.0014*COS(O46-2*P46+2*Q46))*S46*T46*T46+(0.0401*COS(4*N46)-0.013*COS(4*N46-2*Q46))*R46*R46*R46*R46+(-0.0097*COS(3*N46+O46)-0.0045*COS(3*N46+O46-2*Q46)+0.0115*COS(3*N46-O46))*R46*R46*R46*S46-0.0009*COS(2*N46+2*O46-2*Q46)*R46*R46*S46*S46+0.0014*COS(N46+3*O46-2*Q46)*R46*S46*S46*S46+(0.0004*COS(2*N46+2*P46)-0.009*COS(2*N46+2*P46-2*Q46)-0.0053*COS(2*N46-2*P46+2*Q46)+0.0004*COS(2*N46-2*P46)-0.0141*COS(2*N46-2*P46-2*Q46))*R46*R46*T46*T46+(-0.0006*COS(N46+O46-2*P46-2*Q46)+0.0003*COS(N46-O46+2*P46)-0.0027*COS(N46-O46-2*P46+2*Q46))*R46*S46*T46*T46</f>
        <v>-18.71210703619975</v>
      </c>
      <c r="AC46" s="17">
        <f>(P46*180/PI()+Z46/3600)*PI()/180</f>
        <v>3.7870675100245426</v>
      </c>
      <c r="AD46" s="17">
        <f t="shared" ref="AD46:AD73" si="4">(MOD(2*PI()*(0.60643382+(-0.00000313*B46+1336.85522467)*B46)+(0.84*SIN(2*PI()*(0.19833+0.05611*B46))+0.31*SIN(2*PI()*(0.27869+0.04508*B46))+14.27*SIN(2*PI()*(0.16827-0.36903*B46))+7.26*SIN(2*PI()*(0.34734-5.37261*B46))+0.28*SIN(2*PI()*(0.10498-5.37899*B46))+0.24*SIN(2*PI()*(0.42681-0.41855*B46)))*PI()/648000,2*PI())*180/PI()+(Y46+(0.82*SIN(2*PI()*(0.7736-62.5512*B46))+0.31*SIN(2*PI()*(0.0466-125.1025*B46))+0.35*SIN(2*PI()*(0.5785-25.1042*B46))+0.66*SIN(2*PI()*(0.4591+1335.8075*B46))+0.64*SIN(2*PI()*(0.313-91.568*B46))+1.14*SIN(2*PI()*(0.148+1331.2898*B46))+0.21*SIN(2*PI()*(0.5918+1056.5859*B46))+0.44*SIN(2*PI()*(0.5784+1322.8595*B46))+0.24*SIN(2*PI()*(0.2275-5.7374*B46))+0.28*SIN(2*PI()*(0.2965+2.6929*B46))+0.33*SIN(2*PI()*(0.3132+6.3368*B46)))+(I46*6480000000/PI())/10000)/3600)*PI()/180</f>
        <v>4.220710150484817</v>
      </c>
      <c r="AE46" s="17">
        <f t="shared" ref="AE46:AE73" si="5">((1.000002708+139.978*((SIN(2*PI()*(0.59734-5.37261*B46))*-3332+SIN(2*PI()*(0.35498-5.37899*B46))*-539+SIN(2*PI()*(0.39943-5.37511*B46))*-64)/1000000000))*(18519.7+AA46)*SIN(AC46)-6.24*SIN(3*AC46)+(-526.069*SIN(P46-2*Q46)-3.352*SIN(P46-4*Q46))*T46+(44.297*SIN(N46+P46-2*Q46)-6*SIN(N46+P46-4*Q46)+20.599*SIN(-N46+P46)-30.598*SIN(-N46+P46-2*Q46))*R46*T46+(-24.649*SIN(-2*N46+P46)-2*SIN(-2*N46+P46-2*Q46))*R46*R46*T46+(-22.571*SIN(O46+P46-2*Q46)+10.985*SIN(-O46+P46-2*Q46))*S46*T46)*PI()/648000</f>
        <v>-5.5561983040038086E-2</v>
      </c>
      <c r="AF46" s="17">
        <f>ASIN(0.999953253*(3422.7+AB46)*PI()/648000)</f>
        <v>1.6502976625271667E-2</v>
      </c>
      <c r="AG46" s="17">
        <f>0.2725076*AF46</f>
        <v>4.497186553008882E-3</v>
      </c>
      <c r="AH46" s="17">
        <f>MOD(ATAN2(COS(AD46)*COS(AE46),COS(M46)*SIN(AD46)*COS(AE46)-SIN(M46)*SIN(AE46)),2*PI())</f>
        <v>4.1718770756868668</v>
      </c>
      <c r="AI46" s="17">
        <f>ASIN(SIN(M46)*SIN(AD46)*COS(AE46)+COS(M46)*SIN(AE46))</f>
        <v>-0.41267063114255653</v>
      </c>
      <c r="AJ46" s="17">
        <f t="shared" ref="AJ46:AK49" si="6">AD46*180/PI()</f>
        <v>241.8288781708066</v>
      </c>
      <c r="AK46" s="17">
        <f t="shared" si="6"/>
        <v>-3.1834671295716417</v>
      </c>
      <c r="AL46" s="17">
        <f>INT(AH46*432000/PI()+0.6)/36000</f>
        <v>15.935388888888889</v>
      </c>
      <c r="AM46" s="17">
        <f>INT(AI46*648000/PI()-0.5)/3600</f>
        <v>-23.644444444444446</v>
      </c>
      <c r="AN46" s="17">
        <f>INT(AF46*648000/PI()+0.5)/3600</f>
        <v>0.94555555555555559</v>
      </c>
      <c r="AO46" s="17">
        <f>AP42</f>
        <v>16.513999999999999</v>
      </c>
      <c r="AP46" s="17">
        <f>AL46-AO46</f>
        <v>-0.57861111111111008</v>
      </c>
      <c r="AQ46" s="18">
        <f>IF(AND(AP46&lt;0,AP47&gt;0),A46,0)</f>
        <v>0</v>
      </c>
      <c r="AR46" s="18">
        <f>IF(AP46&lt;0,1,0)</f>
        <v>1</v>
      </c>
      <c r="AS46" s="4">
        <f>IF(AP46&gt;0,1,0)</f>
        <v>0</v>
      </c>
      <c r="AT46" s="4"/>
      <c r="AU46" s="4"/>
      <c r="AV46" s="4"/>
      <c r="AW46" s="4"/>
      <c r="AX46" s="4"/>
      <c r="AY46" s="4"/>
      <c r="AZ46" s="4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</row>
    <row r="47" spans="1:109" ht="17.25" hidden="1">
      <c r="A47" s="2">
        <f>A46+1</f>
        <v>0</v>
      </c>
      <c r="B47" s="16">
        <f>N36</f>
        <v>0.23793292265571525</v>
      </c>
      <c r="C47" s="8">
        <f>MOD((((0.064*B47+31.31)*B47+1717915922.633)*B47+485866.733)/3600,360)*PI()/180</f>
        <v>4.8220773739456719</v>
      </c>
      <c r="D47" s="8">
        <f>MOD((((-0.012*B47-0.577)*B47+(99*1296000+1292581.224)*B47)+1287099.804)/3600,360)*PI()/180</f>
        <v>4.9373086052716184</v>
      </c>
      <c r="E47" s="8">
        <f>MOD((((0.011*B47-13.257)*B47+1739527263.137*B47)+335778.877)/3600,360)*PI()/180</f>
        <v>3.8910248211146414</v>
      </c>
      <c r="F47" s="8">
        <f>MOD((((0.019*B47-6.891)*B47+1602961601.328*B47)+1072261.307)/3600,360)*PI()/180</f>
        <v>0.72527340004467189</v>
      </c>
      <c r="G47" s="8">
        <f>MOD((((0.008*B47+7.455)*B47-6962890.539*B47)+450160.28)/3600,360)*PI()/180</f>
        <v>0.43371993407138026</v>
      </c>
      <c r="H47" s="7">
        <f t="shared" si="0"/>
        <v>-84996.845666425288</v>
      </c>
      <c r="I47" s="8">
        <f t="shared" si="1"/>
        <v>-4.1216848359526752E-5</v>
      </c>
      <c r="J47" s="7">
        <f t="shared" si="2"/>
        <v>85994.241025366762</v>
      </c>
      <c r="K47" s="8">
        <f t="shared" si="3"/>
        <v>4.1690530322593615E-5</v>
      </c>
      <c r="L47" s="8">
        <f>(((((((((((245*B47/100+579)*B47/100+2787)*B47/100+712)*B47/100-3905)*B47/100-24967)*B47/100-5138)*B47/1007+199925)*B47/100-155)*B47/100-468093)*B47/100+158144.8)/360000+23)*PI()/180</f>
        <v>0.40903880831481332</v>
      </c>
      <c r="M47" s="8">
        <f>L47+K47</f>
        <v>0.40908049884513592</v>
      </c>
      <c r="N47" s="17">
        <f>MOD(2*PI()*(0.37489701+(0.00002565*B47+1325.55240982)*B47)+(2.94*SIN(2*PI()*(0.19833+0.05611*B47))+0.31*SIN(2*PI()*(0.27869+0.04508*B47))+14.27*SIN(2*PI()*(0.16827-0.36903*B47))+9.34*SIN(2*PI()*(0.34734-5.37261*B47))+1.12*SIN(2*PI()*(0.10498-5.37899*B47))+0.83*SIN(2*PI()*(0.42681-0.41855*B47)))*PI()/648000,2*PI())</f>
        <v>4.8221440175524251</v>
      </c>
      <c r="O47" s="17">
        <f>MOD(2*PI()*(0.99312619+(-0.00000044*B47+99.99735956)*B47)+(-6.4*SIN(2*PI()*(0.19833+0.05611*B47))-1.89*SIN(2*PI()*(0.42681-0.41855*B47)))*PI()/648000,2*PI())</f>
        <v>4.9372270942648413</v>
      </c>
      <c r="P47" s="17">
        <f>MOD(2*PI()*(0.25909118+(-0.00000892*B47+1342.2278298)*B47)+(0.21*SIN(2*PI()*(0.19833+0.05611*B47))+0.31*SIN(2*PI()*(0.27869+0.04508*B47))+14.27*SIN(2*PI()*(0.16827-0.36903*B47))-88.7*SIN(2*PI()*(0.34734-5.37261*B47))-15.3*SIN(2*PI()*(0.10498-5.37899*B47))+0.24*SIN(2*PI()*(0.42681-0.41855*B47))-1.86*SIN(2*PI()*(0.14943-5.37511*B47)))*PI()/648000,2*PI())</f>
        <v>3.8909867408267687</v>
      </c>
      <c r="Q47" s="17">
        <f>MOD(2*PI()*(0.82736186+(-0.00000397*B47+1236.85308708)*B47)+(7.24*SIN(2*PI()*(0.19833+0.05611*B47))+0.31*SIN(2*PI()*(0.27869+0.04508*B47))+14.27*SIN(2*PI()*(0.16827-0.36903*B47))+7.26*SIN(2*PI()*(0.34734-5.37261*B47))+0.28*SIN(2*PI()*(0.10498-5.37899*B47))+2.13*SIN(2*PI()*(0.42681-0.41855*B47)))*PI()/648000,2*PI())</f>
        <v>0.72536952262529297</v>
      </c>
      <c r="R47" s="17">
        <f>1.000002208</f>
        <v>1.0000022079999999</v>
      </c>
      <c r="S47" s="17">
        <f>1-0.002495388*(B47+1)</f>
        <v>0.99691087704000003</v>
      </c>
      <c r="T47" s="17">
        <f>1.000002708+139.978*((SIN(2*PI()*(0.59734-5.37261*B47))*-3332+SIN(2*PI()*(0.35498-5.37899*B47))*-539+SIN(2*PI()*(0.39943-5.37511*B47))*-64)/1000000000)</f>
        <v>0.99953900881383839</v>
      </c>
      <c r="U47" s="17">
        <f>13.902*SIN(4*Q47)+0.403*SIN(3*Q47)+2369.912*SIN(2*Q47)-125.154*SIN(Q47)+(1.979*SIN(N47+4*Q47)+191.953*SIN(N47+2*Q47)-8.466*SIN(N47+Q47)+22639.5*SIN(N47)+18.609*SIN(N47-Q47)-4586.465*SIN(N47-2*Q47)+3.215*SIN(N47-3*Q47)-38.428*SIN(N47-4*Q47)-0.393*SIN(N47-6*Q47))*R47+(-0.289*SIN(O47+4*Q47)-24.42*SIN(O47+2*Q47)+18.023*SIN(O47+Q47)-668.146*SIN(O47)+0.56*SIN(O47-Q47)-165.145*SIN(O47-2*Q47)-1.877*SIN(O47-4*Q47))*S47+(0.213*SIN(2*N47+4*Q47)+14.387*SIN(2*N47+2*Q47)-0.586*SIN(2*N47+Q47)+769.016*SIN(2*N47)+1.75*SIN(2*N47-Q47)-211.656*SIN(2*N47-2*Q47)+1.225*SIN(2*N47-3*Q47)-30.773*SIN(2*N47-4*Q47)-0.57*SIN(2*N47-6*Q47))*R47*R47+(-2.921*SIN(N47+O47+2*Q47)+1.267*SIN(N47+O47+Q47)-109.673*SIN(N47+O47)-205.962*SIN(N47+O47-2*Q47)+0.233*SIN(N47+O47-3*Q47)-4.391*SIN(N47+O47-4*Q47)+0.283*SIN(N47-O47+4*Q47)+14.577*SIN(N47-O47+2*Q47)+147.687*SIN(N47-O47)-1.089*SIN(N47-O47-Q47)+28.475*SIN(N47-O47-2*Q47)-0.276*SIN(N47-O47-3*Q47)+0.636*SIN(N47-O47-4*Q47))*R47*S47+(-0.189*SIN(2*O47+2*Q47)-7.486*SIN(2*O47)-8.096*SIN(2*O47-2*Q47))*S47*S47+(-5.741*SIN(2*P47+2*Q47)+0.255*SIN(2*P47+Q47)-411.608*SIN(2*P47)+0.584*SIN(2*P47-Q47)-55.173*SIN(2*P47-2*Q47)+0.254*SIN(2*P47-3*Q47)+0.025*SIN(2*P47-4*Q47))*T47*T47</f>
        <v>-19527.840051527091</v>
      </c>
      <c r="V47" s="17">
        <f>14.06*SIN(4*Q47)-4.01*SIN(3*Q47)+2373.36*SIN(2*Q47)-112.79*SIN(Q47)+(6.98*SIN(N47+4*Q47)+192.72*SIN(N47+2*Q47)-13.51*SIN(N47+Q47)+22609.07*SIN(N47)+3.59*SIN(N47-Q47)-4578.13*SIN(N47-2*Q47)+5.44*SIN(N47-3*Q47)-38.64*SIN(N47-4*Q47)-1.43*SIN(N47-6*Q47))*R47+(-1.59*SIN(O47+4*Q47)-25.1*SIN(O47+2*Q47)+17.93*SIN(O47+Q47)-126.98*SIN(O47)+0.32*SIN(O47-Q47)-165.06*SIN(O47-2*Q47)-6.46*SIN(O47-4*Q47))*S47+(1.02*SIN(2*N47+4*Q47)+14.78*SIN(2*N47+2*Q47)-1.2*SIN(2*N47+Q47)+767.96*SIN(2*N47)+2.01*SIN(2*N47-Q47)-152.53*SIN(2*N47-2*Q47)+0.91*SIN(2*N47-3*Q47)-34.07*SIN(2*N47-4*Q47)-1.4*SIN(2*N47-6*Q47))*R47*R47+(-11.75*SIN(N47+O47+2*Q47)+1.52*SIN(N47+O47+Q47)-115.18*SIN(N47+O47)-182.36*SIN(N47+O47-2*Q47)+0.36*SIN(N47+O47-3*Q47)-9.66*SIN(N47+O47-4*Q47)+1.53*SIN(N47-O47+4*Q47)+31.7*SIN(N47-O47+2*Q47)+138.76*SIN(N47-O47)+0.55*SIN(N47-O47-Q47)+23.59*SIN(N47-O47-2*Q47)-0.38*SIN(N47-O47-3*Q47)+2.27*SIN(N47-O47-4*Q47))*R47*S47+(-1.68*SIN(2*O47+2*Q47)-0.66*SIN(2*O47)-16.35*SIN(2*O47-2*Q47))*S47*S47+(-0.04*SIN(2*P47+2*Q47)-0.2*SIN(2*P47)+0.84*SIN(2*P47-Q47)-52.14*SIN(2*P47-2*Q47)+0.25*SIN(2*P47-3*Q47)-1.67*SIN(2*P47-4*Q47))*T47*T47</f>
        <v>-19491.905329213681</v>
      </c>
      <c r="W47" s="17">
        <f>-0.001*COS(4*Q47)+0.394*COS(3*Q47)+0.601*COS(2*Q47)-0.725*COS(Q47)+(-0.445*COS(N47+4*Q47)+0.029*COS(N47+2*Q47)+0.455*COS(N47+Q47)+0.079*COS(N47)-0.094*COS(N47-Q47)-0.077*COS(N47-2*Q47)+0.192*COS(N47-3*Q47)+0.001*COS(N47-4*Q47)-0.092*COS(N47-6*Q47))*R47+(0.123*COS(O47+4*Q47)+0.04*COS(O47+2*Q47)+0.007*COS(O47+Q47)-1.302*COS(O47)-0.001*COS(O47-Q47)+0.054*COS(O47-2*Q47)-0.416*COS(O47-4*Q47))*S47+(-0.074*COS(2*N47+4*Q47)-0.017*COS(2*N47+2*Q47)+0.054*COS(2*N47+Q47)+0.107*COS(2*N47)-0.018*COS(2*N47-Q47)+5.679*COS(2*N47-2*Q47)-0.03*COS(2*N47-3*Q47)-0.308*COS(2*N47-4*Q47)-0.074*COS(2*N47-6*Q47))*R47*R47+(0.787*COS(N47+O47+2*Q47)-0.022*COS(N47+O47+Q47)+0.461*COS(N47+O47)+2.056*COS(N47+O47-2*Q47)+0.012*COS(N47+O47-3*Q47)-0.471*COS(N47+O47-4*Q47)-0.111*COS(N47-O47+4*Q47)-1.54*COS(N47-O47+2*Q47)+0.679*COS(N47-O47)+0.021*COS(N47-O47-Q47)-0.443*COS(N47-O47-2*Q47)-0.006*COS(N47-O47-3*Q47)+0.146*COS(N47-O47-4*Q47))*R47*S47+(0.131*COS(2*O47+2*Q47)-0.037*COS(2*O47)-0.74*COS(2*O47-2*Q47))*S47*S47</f>
        <v>-3.80603650583399</v>
      </c>
      <c r="X47" s="17">
        <f>0.2607*COS(4*Q47)+0.0023*COS(3*Q47)+28.2333*COS(2*Q47)-0.9781*COS(Q47)+(0.0433*COS(N47+4*Q47)+3.0861*COS(N47+2*Q47)-0.1093*COS(N47+Q47)+186.5398*COS(N47)+0.0118*COS(N47-Q47)+34.3117*COS(N47-2*Q47)-0.0386*COS(N47-3*Q47)+0.6008*COS(N47-4*Q47)+0.0086*COS(N47-6*Q47))*R47+(-0.0053*COS(O47+4*Q47)-0.3*COS(O47+2*Q47)+0.1494*COS(O47+Q47)-0.3997*COS(O47)-0.0037*COS(O47-Q47)+1.9178*COS(O47-2*Q47)+0.0339*COS(O47-4*Q47))*S47+(0.0054*COS(2*N47+4*Q47)+0.2833*COS(2*N47+2*Q47)-0.01*COS(2*N47+Q47)+10.1657*COS(2*N47)+0.0155*COS(2*N47-Q47)-0.3039*COS(2*N47-2*Q47)-0.0088*COS(2*N47-3*Q47)+0.3722*COS(2*N47-4*Q47)+0.0109*COS(2*N47-6*Q47))*R47*R47+(-0.0484*COS(N47+O47+2*Q47)+0.0164*COS(N47+O47+Q47)-0.949*COS(N47+O47)+1.4437*COS(N47+O47-2*Q47)-0.0025*COS(N47+O47-3*Q47)+0.0673*COS(N47+O47-4*Q47)+0.006*COS(N47-O47+4*Q47)+0.2302*COS(N47-O47+2*Q47)+1.1528*COS(N47-O47)-0.2257*COS(N47-O47-2*Q47)-0.0036*COS(N47-O47-3*Q47)-0.0102*COS(N47-O47-4*Q47))*R47*S47+(-0.0028*COS(2*O47+2*Q47)-0.0086*COS(2*O47)+0.0918*COS(2*O47-2*Q47))*S47*S47+(-0.0009*COS(2*P47+2*Q47)-0.0124*COS(2*P47)+0.0071*COS(2*P47-Q47)-0.1052*COS(2*P47-2*Q47)-0.0017*COS(2*P47-3*Q47)+0.0031*COS(2*P47-4*Q47))*T47*T47</f>
        <v>-17.922289777471473</v>
      </c>
      <c r="Y47" s="17">
        <f>U47+(1.06*SIN(3*N47+2*Q47)+36.124*SIN(3*N47)-13.193*SIN(3*N47-2*Q47)-1.187*SIN(3*N47-4*Q47)-0.293*SIN(3*N47-6*Q47))*R47*R47*R47+(-0.29*SIN(2*N47+O47+2*Q47)-7.649*SIN(2*N47+O47)-8.627*SIN(2*N47+O47-2*Q47)-2.74*SIN(2*N47+O47-4*Q47)+1.181*SIN(2*N47-O47+2*Q47)+9.703*SIN(2*N47-O47)-0.352*SIN(2*N47-O47-Q47)-2.494*SIN(2*N47-O47-2*Q47)+0.36*SIN(2*N47-O47-4*Q47))*R47*R47*S47+(-1.167*SIN(N47+2*O47)-7.412*SIN(N47+2*O47-2*Q47)-0.311*SIN(N47+2*O47-4*Q47)+0.757*SIN(N47-2*O47+2*Q47)+2.58*SIN(N47-2*O47)+2.533*SIN(N47-2*O47-2*Q47))*R47*S47*S47-0.344*SIN(3*O47-2*Q47)*S47*S47*S47+(-0.992*SIN(N47+2*P47+2*Q47)-45.099*SIN(N47+2*P47)-0.179*SIN(N47+2*P47-2*Q47)-0.301*SIN(N47+2*P47-4*Q47)-6.382*SIN(N47-2*P47+2*Q47)+39.528*SIN(N47-2*P47)+9.366*SIN(N47-2*P47-2*Q47)+0.202*SIN(N47-2*P47-4*Q47))*R47*T47*T47+(0.415*SIN(O47+2*P47)-2.152*SIN(O47+2*P47-2*Q47)-1.44*SIN(O47-2*P47+2*Q47)+0.384*SIN(O47-2*P47-2*Q47))*S47*T47*T47+(1.938*SIN(4*N47)-0.952*SIN(4*N47-2*Q47))*R47*R47*R47*R47+(-0.551*SIN(3*N47+O47)-0.482*SIN(3*N47+O47-2*Q47)+0.681*SIN(3*N47-O47))*R47*R47*R47*S47+(-0.297*SIN(2*N47+2*O47-2*Q47)+0.254*SIN(2*N47-2*O47-2*Q47))*R47*R47*S47*S47-0.25*SIN(N47+3*O47-2*Q47)*R47*S47*S47*S47+(-3.996*SIN(2*N47+2*P47)+0.557*SIN(2*N47+2*P47-2*Q47)-0.459*SIN(2*N47-2*P47+2*Q47)-1.298*SIN(2*N47-2*P47)+0.538*SIN(2*N47-2*P47-2*Q47))*R47*R47*T47*T47+(0.263*SIN(N47+O47+2*P47)+0.426*SIN(N47+O47-2*P47-2*Q47)-0.304*SIN(N47-O47+2*P47)-0.372*SIN(N47-O47-2*P47+2*Q47))*R47*S47*T47*T47+0.418*SIN(4*P47)*T47*T47*T47*T47-0.33*SIN(3*N47+2*P47)*R47*R47*R47*T47*T47</f>
        <v>-19505.882170202229</v>
      </c>
      <c r="Z47" s="17">
        <f>V47+(2.96*SIN(3*N47+2*Q47)+50.64*SIN(3*N47)-16.4*SIN(3*N47-2*Q47)-0.74*SIN(3*N47-4*Q47)-0.31*SIN(3*N47-6*Q47))*R47*R47*R47+(-1.45*SIN(2*N47+O47+2*Q47)-10.56*SIN(2*N47+O47)-7.59*SIN(2*N47+O47-2*Q47)-2.54*SIN(2*N47+O47-4*Q47)+3.32*SIN(2*N47-O47+2*Q47)+11.67*SIN(2*N47-O47)-0.37*SIN(2*N47-O47-Q47)-1.17*SIN(2*N47-O47-2*Q47)+0.2*SIN(2*N47-O47-4*Q47))*R47*R47*S47+(-1.25*SIN(N47+2*O47)-6.12*SIN(N47+2*O47-2*Q47)-0.65*SIN(N47+2*O47-4*Q47)+1.82*SIN(N47-2*O47+2*Q47)+2.32*SIN(N47-2*O47)+2.4*SIN(N47-2*O47-2*Q47))*R47*S47*S47-0.57*SIN(3*O47-2*Q47)*S47*S47*S47+(-0.02*SIN(N47+2*P47+2*Q47)-0.02*SIN(N47+2*P47)-9.52*SIN(N47+2*P47-2*Q47)-0.33*SIN(N47+2*P47-4*Q47)-3.37*SIN(N47-2*P47+2*Q47)+85.13*SIN(N47-2*P47)+0.71*SIN(N47-2*P47-2*Q47)+0.02*SIN(N47-2*P47-4*Q47))*R47*T47*T47+(0.1*SIN(O47+2*P47)-2.26*SIN(O47+2*P47-2*Q47)-1.3*SIN(O47-2*P47+2*Q47)-0.04*SIN(O47-2*P47-2*Q47))*S47*T47*T47+(3.6*SIN(4*N47)-1.58*SIN(4*N47-2*Q47))*R47*R47*R47*R47+(-0.94*SIN(3*N47+O47)-0.57*SIN(3*N47+O47-2*Q47)+0.96*SIN(3*N47-O47))*R47*R47*R47*S47+(-0.27*SIN(2*N47+2*O47-2*Q47)+0.21*SIN(2*N47-2*O47-2*Q47))*R47*R47*S47*S47-0.22*SIN(N47+3*O47-2*Q47)*R47*S47*S47*S47+(-0.75*SIN(2*N47+2*P47-2*Q47)-0.38*SIN(2*N47-2*P47+2*Q47)+0.74*SIN(2*N47-2*P47)+1.14*SIN(2*N47-2*P47-2*Q47))*R47*R47*T47*T47+(0.02*SIN(N47+O47+2*P47)+0.07*SIN(N47+O47-2*P47-2*Q47)+0.03*SIN(N47-O47+2*P47)-0.19*SIN(N47-O47-2*P47+2*Q47))*R47*S47*T47*T47-0.04*SIN(3*N47+2*P47)*R47*R47*R47*T47*T47</f>
        <v>-19469.944817838797</v>
      </c>
      <c r="AA47" s="17">
        <f>W47+(-0.166*COS(3*N47+2*Q47)-1.3*COS(3*N47)+0.258*COS(3*N47-2*Q47)+0.042*COS(3*N47-4*Q47)-0.002*COS(3*N47-6*Q47))*R47*R47*R47+(0.116*COS(2*N47+O47+2*Q47)+0.259*COS(2*N47+O47)+0.078*COS(2*N47+O47-2*Q47)+0.022*COS(2*N47+O47-4*Q47)-0.212*COS(2*N47-O47+2*Q47)-0.151*COS(2*N47-O47)+0.001*COS(2*N47-O47-Q47)-0.003*COS(2*N47-O47-2*Q47)-0.012*COS(2*N47-O47-4*Q47))*R47*R47*S47+(0.008*COS(N47+2*O47)+0.117*COS(N47+2*O47-2*Q47)-0.032*COS(N47+2*O47-4*Q47)-0.105*COS(N47-2*O47+2*Q47)+0.027*COS(N47-2*O47)-0.014*COS(N47-2*O47-2*Q47))*R47*S47*S47-0.025*COS(3*O47-2*Q47)*S47*S47*S47+(-0.145*COS(4*N47)+0.052*COS(4*N47-2*Q47))*R47*R47*R47*R47+(0.032*COS(3*N47+O47)+0.005*COS(3*N47+O47-2*Q47)-0.026*COS(3*N47-O47))*R47*R47*R47*S47+(0.002*COS(2*N47+2*O47-2*Q47)-0.003*COS(2*N47-2*O47-2*Q47))*R47*R47*S47*S47+0.004*COS(N47+3*O47-2*Q47)*R47*S47*S47*S47</f>
        <v>-3.2194055439927474</v>
      </c>
      <c r="AB47" s="17">
        <f>X47+(0.0243*COS(3*N47+2*Q47)+0.6215*COS(3*N47)-0.1187*COS(3*N47-2*Q47)+0.0074*COS(3*N47-4*Q47)+0.0046*COS(3*N47-6*Q47))*R47*R47*R47+(-0.0051*COS(2*N47+O47+2*Q47)-0.1038*COS(2*N47+O47)-0.0192*COS(2*N47+O47-2*Q47)+0.0324*COS(2*N47+O47-4*Q47)+0.0213*COS(2*N47-O47+2*Q47)+0.1268*COS(2*N47-O47)-0.0028*COS(2*N47-O47-Q47)-0.0017*COS(2*N47-O47-2*Q47)-0.0043*COS(2*N47-O47-4*Q47))*R47*R47*S47+(-0.0106*COS(N47+2*O47)+0.0484*COS(N47+2*O47-2*Q47)+0.0044*COS(N47+2*O47-4*Q47)+0.0112*COS(N47-2*O47+2*Q47)+0.0196*COS(N47-2*O47)-0.0212*COS(N47-2*O47-2*Q47))*R47*S47*S47+0.0036*COS(3*O47-2*Q47)*S47*S47*S47+(-0.001*COS(N47+2*P47)-0.0833*COS(N47+2*P47-2*Q47)+0.0014*COS(N47+2*P47-4*Q47)-0.0481*COS(N47-2*P47+2*Q47)-0.7136*COS(N47-2*P47)-0.0112*COS(N47-2*P47-2*Q47))*R47*T47*T47+(0.0013*COS(O47+2*P47)-0.0066*COS(O47+2*P47-2*Q47)+0.0014*COS(O47-2*P47+2*Q47))*S47*T47*T47+(0.0401*COS(4*N47)-0.013*COS(4*N47-2*Q47))*R47*R47*R47*R47+(-0.0097*COS(3*N47+O47)-0.0045*COS(3*N47+O47-2*Q47)+0.0115*COS(3*N47-O47))*R47*R47*R47*S47-0.0009*COS(2*N47+2*O47-2*Q47)*R47*R47*S47*S47+0.0014*COS(N47+3*O47-2*Q47)*R47*S47*S47*S47+(0.0004*COS(2*N47+2*P47)-0.009*COS(2*N47+2*P47-2*Q47)-0.0053*COS(2*N47-2*P47+2*Q47)+0.0004*COS(2*N47-2*P47)-0.0141*COS(2*N47-2*P47-2*Q47))*R47*R47*T47*T47+(-0.0006*COS(N47+O47-2*P47-2*Q47)+0.0003*COS(N47-O47+2*P47)-0.0027*COS(N47-O47-2*P47+2*Q47))*R47*S47*T47*T47</f>
        <v>-17.45927640911011</v>
      </c>
      <c r="AC47" s="17">
        <f>(P47*180/PI()+Z47/3600)*PI()/180</f>
        <v>3.7965937846454092</v>
      </c>
      <c r="AD47" s="17">
        <f t="shared" si="4"/>
        <v>4.230185672644077</v>
      </c>
      <c r="AE47" s="17">
        <f t="shared" si="5"/>
        <v>-5.6257934536656264E-2</v>
      </c>
      <c r="AF47" s="17">
        <f>ASIN(0.999953253*(3422.7+AB47)*PI()/648000)</f>
        <v>1.6509051063083525E-2</v>
      </c>
      <c r="AG47" s="17">
        <f>0.2725076*AF47</f>
        <v>4.4988418834783399E-3</v>
      </c>
      <c r="AH47" s="17">
        <f>MOD(ATAN2(COS(AD47)*COS(AE47),COS(M47)*SIN(AD47)*COS(AE47)-SIN(M47)*SIN(AE47)),2*PI())</f>
        <v>4.181840353397801</v>
      </c>
      <c r="AI47" s="17">
        <f>ASIN(SIN(M47)*SIN(AD47)*COS(AE47)+COS(M47)*SIN(AE47))</f>
        <v>-0.41527536635972501</v>
      </c>
      <c r="AJ47" s="17">
        <f t="shared" si="6"/>
        <v>242.37178559921489</v>
      </c>
      <c r="AK47" s="17">
        <f t="shared" si="6"/>
        <v>-3.2233422130736762</v>
      </c>
      <c r="AL47" s="17">
        <f>INT(AH47*432000/PI()+0.6)/36000</f>
        <v>15.973444444444445</v>
      </c>
      <c r="AM47" s="17">
        <f>INT(AI47*648000/PI()-0.5)/3600</f>
        <v>-23.79388888888889</v>
      </c>
      <c r="AN47" s="17">
        <f>INT(AF47*648000/PI()+0.5)/3600</f>
        <v>0.9458333333333333</v>
      </c>
      <c r="AO47" s="17">
        <f>AO46</f>
        <v>16.513999999999999</v>
      </c>
      <c r="AP47" s="17">
        <f t="shared" ref="AP47:AP72" si="7">AL47-AO47</f>
        <v>-0.54055555555555479</v>
      </c>
      <c r="AQ47" s="18">
        <f t="shared" ref="AQ47:AQ72" si="8">IF(AND(AP47&lt;0,AP48&gt;0),A47,0)</f>
        <v>0</v>
      </c>
      <c r="AR47" s="18">
        <f t="shared" ref="AR47:AR72" si="9">IF(AP47&lt;0,1,0)</f>
        <v>1</v>
      </c>
      <c r="AS47" s="4">
        <f t="shared" ref="AS47:AS72" si="10">IF(AP47&gt;0,1,0)</f>
        <v>0</v>
      </c>
      <c r="AT47" s="4"/>
      <c r="AU47" s="4"/>
      <c r="AV47" s="4"/>
      <c r="AW47" s="4"/>
      <c r="AX47" s="4"/>
      <c r="AY47" s="4"/>
      <c r="AZ47" s="4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</row>
    <row r="48" spans="1:109" ht="17.25" hidden="1">
      <c r="A48" s="2">
        <f t="shared" ref="A48:A72" si="11">A47+1</f>
        <v>1</v>
      </c>
      <c r="B48" s="19">
        <f>B47+1/876600</f>
        <v>0.23793406342687656</v>
      </c>
      <c r="C48" s="8">
        <f>MOD((((0.064*B48+31.31)*B48+1717915922.633)*B48+485866.733)/3600,360)*PI()/180</f>
        <v>4.8315785050146154</v>
      </c>
      <c r="D48" s="8">
        <f>MOD((((-0.012*B48-0.577)*B48+(99*1296000+1292581.224)*B48)+1287099.804)/3600,360)*PI()/180</f>
        <v>4.9380253540204455</v>
      </c>
      <c r="E48" s="8">
        <f>MOD((((0.011*B48-13.257)*B48+1739527263.137*B48)+335778.877)/3600,360)*PI()/180</f>
        <v>3.9006454760247093</v>
      </c>
      <c r="F48" s="8">
        <f>MOD((((0.019*B48-6.891)*B48+1602961601.328*B48)+1072261.307)/3600,360)*PI()/180</f>
        <v>0.73413876293836722</v>
      </c>
      <c r="G48" s="8">
        <f>MOD((((0.008*B48+7.455)*B48-6962890.539*B48)+450160.28)/3600,360)*PI()/180</f>
        <v>0.43368142504813839</v>
      </c>
      <c r="H48" s="7">
        <f t="shared" si="0"/>
        <v>-84978.139887500525</v>
      </c>
      <c r="I48" s="8">
        <f t="shared" si="1"/>
        <v>-4.1207542330254415E-5</v>
      </c>
      <c r="J48" s="7">
        <f t="shared" si="2"/>
        <v>85970.63860728695</v>
      </c>
      <c r="K48" s="8">
        <f t="shared" si="3"/>
        <v>4.1678970514510963E-5</v>
      </c>
      <c r="L48" s="8">
        <f>(((((((((((245*B48/100+579)*B48/100+2787)*B48/100+712)*B48/100-3905)*B48/100-24967)*B48/100-5138)*B48/1007+199925)*B48/100-155)*B48/100-468093)*B48/100+158144.8)/360000+23)*PI()/180</f>
        <v>0.40903880805593051</v>
      </c>
      <c r="M48" s="8">
        <f>L48+K48</f>
        <v>0.40908048702644501</v>
      </c>
      <c r="N48" s="17">
        <f>MOD(2*PI()*(0.37489701+(0.00002565*B48+1325.55240982)*B48)+(2.94*SIN(2*PI()*(0.19833+0.05611*B48))+0.31*SIN(2*PI()*(0.27869+0.04508*B48))+14.27*SIN(2*PI()*(0.16827-0.36903*B48))+9.34*SIN(2*PI()*(0.34734-5.37261*B48))+1.12*SIN(2*PI()*(0.10498-5.37899*B48))+0.83*SIN(2*PI()*(0.42681-0.41855*B48)))*PI()/648000,2*PI())</f>
        <v>4.8316451467982162</v>
      </c>
      <c r="O48" s="17">
        <f>MOD(2*PI()*(0.99312619+(-0.00000044*B48+99.99735956)*B48)+(-6.4*SIN(2*PI()*(0.19833+0.05611*B48))-1.89*SIN(2*PI()*(0.42681-0.41855*B48)))*PI()/648000,2*PI())</f>
        <v>4.9379438429816958</v>
      </c>
      <c r="P48" s="17">
        <f>MOD(2*PI()*(0.25909118+(-0.00000892*B48+1342.2278298)*B48)+(0.21*SIN(2*PI()*(0.19833+0.05611*B48))+0.31*SIN(2*PI()*(0.27869+0.04508*B48))+14.27*SIN(2*PI()*(0.16827-0.36903*B48))-88.7*SIN(2*PI()*(0.34734-5.37261*B48))-15.3*SIN(2*PI()*(0.10498-5.37899*B48))+0.24*SIN(2*PI()*(0.42681-0.41855*B48))-1.86*SIN(2*PI()*(0.14943-5.37511*B48)))*PI()/648000,2*PI())</f>
        <v>3.9006074122112508</v>
      </c>
      <c r="Q48" s="17">
        <f>MOD(2*PI()*(0.82736186+(-0.00000397*B48+1236.85308708)*B48)+(7.24*SIN(2*PI()*(0.19833+0.05611*B48))+0.31*SIN(2*PI()*(0.27869+0.04508*B48))+14.27*SIN(2*PI()*(0.16827-0.36903*B48))+7.26*SIN(2*PI()*(0.34734-5.37261*B48))+0.28*SIN(2*PI()*(0.10498-5.37899*B48))+2.13*SIN(2*PI()*(0.42681-0.41855*B48)))*PI()/648000,2*PI())</f>
        <v>0.73423488414467641</v>
      </c>
      <c r="R48" s="17">
        <f>1.000002208</f>
        <v>1.0000022079999999</v>
      </c>
      <c r="S48" s="17">
        <f>1-0.002495388*(B48+1)</f>
        <v>0.99691087419333335</v>
      </c>
      <c r="T48" s="17">
        <f>1.000002708+139.978*((SIN(2*PI()*(0.59734-5.37261*B48))*-3332+SIN(2*PI()*(0.35498-5.37899*B48))*-539+SIN(2*PI()*(0.39943-5.37511*B48))*-64)/1000000000)</f>
        <v>0.99953900410859831</v>
      </c>
      <c r="U48" s="17">
        <f>13.902*SIN(4*Q48)+0.403*SIN(3*Q48)+2369.912*SIN(2*Q48)-125.154*SIN(Q48)+(1.979*SIN(N48+4*Q48)+191.953*SIN(N48+2*Q48)-8.466*SIN(N48+Q48)+22639.5*SIN(N48)+18.609*SIN(N48-Q48)-4586.465*SIN(N48-2*Q48)+3.215*SIN(N48-3*Q48)-38.428*SIN(N48-4*Q48)-0.393*SIN(N48-6*Q48))*R48+(-0.289*SIN(O48+4*Q48)-24.42*SIN(O48+2*Q48)+18.023*SIN(O48+Q48)-668.146*SIN(O48)+0.56*SIN(O48-Q48)-165.145*SIN(O48-2*Q48)-1.877*SIN(O48-4*Q48))*S48+(0.213*SIN(2*N48+4*Q48)+14.387*SIN(2*N48+2*Q48)-0.586*SIN(2*N48+Q48)+769.016*SIN(2*N48)+1.75*SIN(2*N48-Q48)-211.656*SIN(2*N48-2*Q48)+1.225*SIN(2*N48-3*Q48)-30.773*SIN(2*N48-4*Q48)-0.57*SIN(2*N48-6*Q48))*R48*R48+(-2.921*SIN(N48+O48+2*Q48)+1.267*SIN(N48+O48+Q48)-109.673*SIN(N48+O48)-205.962*SIN(N48+O48-2*Q48)+0.233*SIN(N48+O48-3*Q48)-4.391*SIN(N48+O48-4*Q48)+0.283*SIN(N48-O48+4*Q48)+14.577*SIN(N48-O48+2*Q48)+147.687*SIN(N48-O48)-1.089*SIN(N48-O48-Q48)+28.475*SIN(N48-O48-2*Q48)-0.276*SIN(N48-O48-3*Q48)+0.636*SIN(N48-O48-4*Q48))*R48*S48+(-0.189*SIN(2*O48+2*Q48)-7.486*SIN(2*O48)-8.096*SIN(2*O48-2*Q48))*S48*S48+(-5.741*SIN(2*P48+2*Q48)+0.255*SIN(2*P48+Q48)-411.608*SIN(2*P48)+0.584*SIN(2*P48-Q48)-55.173*SIN(2*P48-2*Q48)+0.254*SIN(2*P48-3*Q48)+0.025*SIN(2*P48-4*Q48))*T48*T48</f>
        <v>-19547.163871377226</v>
      </c>
      <c r="V48" s="17">
        <f>14.06*SIN(4*Q48)-4.01*SIN(3*Q48)+2373.36*SIN(2*Q48)-112.79*SIN(Q48)+(6.98*SIN(N48+4*Q48)+192.72*SIN(N48+2*Q48)-13.51*SIN(N48+Q48)+22609.07*SIN(N48)+3.59*SIN(N48-Q48)-4578.13*SIN(N48-2*Q48)+5.44*SIN(N48-3*Q48)-38.64*SIN(N48-4*Q48)-1.43*SIN(N48-6*Q48))*R48+(-1.59*SIN(O48+4*Q48)-25.1*SIN(O48+2*Q48)+17.93*SIN(O48+Q48)-126.98*SIN(O48)+0.32*SIN(O48-Q48)-165.06*SIN(O48-2*Q48)-6.46*SIN(O48-4*Q48))*S48+(1.02*SIN(2*N48+4*Q48)+14.78*SIN(2*N48+2*Q48)-1.2*SIN(2*N48+Q48)+767.96*SIN(2*N48)+2.01*SIN(2*N48-Q48)-152.53*SIN(2*N48-2*Q48)+0.91*SIN(2*N48-3*Q48)-34.07*SIN(2*N48-4*Q48)-1.4*SIN(2*N48-6*Q48))*R48*R48+(-11.75*SIN(N48+O48+2*Q48)+1.52*SIN(N48+O48+Q48)-115.18*SIN(N48+O48)-182.36*SIN(N48+O48-2*Q48)+0.36*SIN(N48+O48-3*Q48)-9.66*SIN(N48+O48-4*Q48)+1.53*SIN(N48-O48+4*Q48)+31.7*SIN(N48-O48+2*Q48)+138.76*SIN(N48-O48)+0.55*SIN(N48-O48-Q48)+23.59*SIN(N48-O48-2*Q48)-0.38*SIN(N48-O48-3*Q48)+2.27*SIN(N48-O48-4*Q48))*R48*S48+(-1.68*SIN(2*O48+2*Q48)-0.66*SIN(2*O48)-16.35*SIN(2*O48-2*Q48))*S48*S48+(-0.04*SIN(2*P48+2*Q48)-0.2*SIN(2*P48)+0.84*SIN(2*P48-Q48)-52.14*SIN(2*P48-2*Q48)+0.25*SIN(2*P48-3*Q48)-1.67*SIN(2*P48-4*Q48))*T48*T48</f>
        <v>-19510.466152773901</v>
      </c>
      <c r="W48" s="17">
        <f>-0.001*COS(4*Q48)+0.394*COS(3*Q48)+0.601*COS(2*Q48)-0.725*COS(Q48)+(-0.445*COS(N48+4*Q48)+0.029*COS(N48+2*Q48)+0.455*COS(N48+Q48)+0.079*COS(N48)-0.094*COS(N48-Q48)-0.077*COS(N48-2*Q48)+0.192*COS(N48-3*Q48)+0.001*COS(N48-4*Q48)-0.092*COS(N48-6*Q48))*R48+(0.123*COS(O48+4*Q48)+0.04*COS(O48+2*Q48)+0.007*COS(O48+Q48)-1.302*COS(O48)-0.001*COS(O48-Q48)+0.054*COS(O48-2*Q48)-0.416*COS(O48-4*Q48))*S48+(-0.074*COS(2*N48+4*Q48)-0.017*COS(2*N48+2*Q48)+0.054*COS(2*N48+Q48)+0.107*COS(2*N48)-0.018*COS(2*N48-Q48)+5.679*COS(2*N48-2*Q48)-0.03*COS(2*N48-3*Q48)-0.308*COS(2*N48-4*Q48)-0.074*COS(2*N48-6*Q48))*R48*R48+(0.787*COS(N48+O48+2*Q48)-0.022*COS(N48+O48+Q48)+0.461*COS(N48+O48)+2.056*COS(N48+O48-2*Q48)+0.012*COS(N48+O48-3*Q48)-0.471*COS(N48+O48-4*Q48)-0.111*COS(N48-O48+4*Q48)-1.54*COS(N48-O48+2*Q48)+0.679*COS(N48-O48)+0.021*COS(N48-O48-Q48)-0.443*COS(N48-O48-2*Q48)-0.006*COS(N48-O48-3*Q48)+0.146*COS(N48-O48-4*Q48))*R48*S48+(0.131*COS(2*O48+2*Q48)-0.037*COS(2*O48)-0.74*COS(2*O48-2*Q48))*S48*S48</f>
        <v>-3.7512653789997366</v>
      </c>
      <c r="X48" s="17">
        <f>0.2607*COS(4*Q48)+0.0023*COS(3*Q48)+28.2333*COS(2*Q48)-0.9781*COS(Q48)+(0.0433*COS(N48+4*Q48)+3.0861*COS(N48+2*Q48)-0.1093*COS(N48+Q48)+186.5398*COS(N48)+0.0118*COS(N48-Q48)+34.3117*COS(N48-2*Q48)-0.0386*COS(N48-3*Q48)+0.6008*COS(N48-4*Q48)+0.0086*COS(N48-6*Q48))*R48+(-0.0053*COS(O48+4*Q48)-0.3*COS(O48+2*Q48)+0.1494*COS(O48+Q48)-0.3997*COS(O48)-0.0037*COS(O48-Q48)+1.9178*COS(O48-2*Q48)+0.0339*COS(O48-4*Q48))*S48+(0.0054*COS(2*N48+4*Q48)+0.2833*COS(2*N48+2*Q48)-0.01*COS(2*N48+Q48)+10.1657*COS(2*N48)+0.0155*COS(2*N48-Q48)-0.3039*COS(2*N48-2*Q48)-0.0088*COS(2*N48-3*Q48)+0.3722*COS(2*N48-4*Q48)+0.0109*COS(2*N48-6*Q48))*R48*R48+(-0.0484*COS(N48+O48+2*Q48)+0.0164*COS(N48+O48+Q48)-0.949*COS(N48+O48)+1.4437*COS(N48+O48-2*Q48)-0.0025*COS(N48+O48-3*Q48)+0.0673*COS(N48+O48-4*Q48)+0.006*COS(N48-O48+4*Q48)+0.2302*COS(N48-O48+2*Q48)+1.1528*COS(N48-O48)-0.2257*COS(N48-O48-2*Q48)-0.0036*COS(N48-O48-3*Q48)-0.0102*COS(N48-O48-4*Q48))*R48*S48+(-0.0028*COS(2*O48+2*Q48)-0.0086*COS(2*O48)+0.0918*COS(2*O48-2*Q48))*S48*S48+(-0.0009*COS(2*P48+2*Q48)-0.0124*COS(2*P48)+0.0071*COS(2*P48-Q48)-0.1052*COS(2*P48-2*Q48)-0.0017*COS(2*P48-3*Q48)+0.0031*COS(2*P48-4*Q48))*T48*T48</f>
        <v>-16.654402487295894</v>
      </c>
      <c r="Y48" s="17">
        <f>U48+(1.06*SIN(3*N48+2*Q48)+36.124*SIN(3*N48)-13.193*SIN(3*N48-2*Q48)-1.187*SIN(3*N48-4*Q48)-0.293*SIN(3*N48-6*Q48))*R48*R48*R48+(-0.29*SIN(2*N48+O48+2*Q48)-7.649*SIN(2*N48+O48)-8.627*SIN(2*N48+O48-2*Q48)-2.74*SIN(2*N48+O48-4*Q48)+1.181*SIN(2*N48-O48+2*Q48)+9.703*SIN(2*N48-O48)-0.352*SIN(2*N48-O48-Q48)-2.494*SIN(2*N48-O48-2*Q48)+0.36*SIN(2*N48-O48-4*Q48))*R48*R48*S48+(-1.167*SIN(N48+2*O48)-7.412*SIN(N48+2*O48-2*Q48)-0.311*SIN(N48+2*O48-4*Q48)+0.757*SIN(N48-2*O48+2*Q48)+2.58*SIN(N48-2*O48)+2.533*SIN(N48-2*O48-2*Q48))*R48*S48*S48-0.344*SIN(3*O48-2*Q48)*S48*S48*S48+(-0.992*SIN(N48+2*P48+2*Q48)-45.099*SIN(N48+2*P48)-0.179*SIN(N48+2*P48-2*Q48)-0.301*SIN(N48+2*P48-4*Q48)-6.382*SIN(N48-2*P48+2*Q48)+39.528*SIN(N48-2*P48)+9.366*SIN(N48-2*P48-2*Q48)+0.202*SIN(N48-2*P48-4*Q48))*R48*T48*T48+(0.415*SIN(O48+2*P48)-2.152*SIN(O48+2*P48-2*Q48)-1.44*SIN(O48-2*P48+2*Q48)+0.384*SIN(O48-2*P48-2*Q48))*S48*T48*T48+(1.938*SIN(4*N48)-0.952*SIN(4*N48-2*Q48))*R48*R48*R48*R48+(-0.551*SIN(3*N48+O48)-0.482*SIN(3*N48+O48-2*Q48)+0.681*SIN(3*N48-O48))*R48*R48*R48*S48+(-0.297*SIN(2*N48+2*O48-2*Q48)+0.254*SIN(2*N48-2*O48-2*Q48))*R48*R48*S48*S48-0.25*SIN(N48+3*O48-2*Q48)*R48*S48*S48*S48+(-3.996*SIN(2*N48+2*P48)+0.557*SIN(2*N48+2*P48-2*Q48)-0.459*SIN(2*N48-2*P48+2*Q48)-1.298*SIN(2*N48-2*P48)+0.538*SIN(2*N48-2*P48-2*Q48))*R48*R48*T48*T48+(0.263*SIN(N48+O48+2*P48)+0.426*SIN(N48+O48-2*P48-2*Q48)-0.304*SIN(N48-O48+2*P48)-0.372*SIN(N48-O48-2*P48+2*Q48))*R48*S48*T48*T48+0.418*SIN(4*P48)*T48*T48*T48*T48-0.33*SIN(3*N48+2*P48)*R48*R48*R48*T48*T48</f>
        <v>-19526.447775451586</v>
      </c>
      <c r="Z48" s="17">
        <f>V48+(2.96*SIN(3*N48+2*Q48)+50.64*SIN(3*N48)-16.4*SIN(3*N48-2*Q48)-0.74*SIN(3*N48-4*Q48)-0.31*SIN(3*N48-6*Q48))*R48*R48*R48+(-1.45*SIN(2*N48+O48+2*Q48)-10.56*SIN(2*N48+O48)-7.59*SIN(2*N48+O48-2*Q48)-2.54*SIN(2*N48+O48-4*Q48)+3.32*SIN(2*N48-O48+2*Q48)+11.67*SIN(2*N48-O48)-0.37*SIN(2*N48-O48-Q48)-1.17*SIN(2*N48-O48-2*Q48)+0.2*SIN(2*N48-O48-4*Q48))*R48*R48*S48+(-1.25*SIN(N48+2*O48)-6.12*SIN(N48+2*O48-2*Q48)-0.65*SIN(N48+2*O48-4*Q48)+1.82*SIN(N48-2*O48+2*Q48)+2.32*SIN(N48-2*O48)+2.4*SIN(N48-2*O48-2*Q48))*R48*S48*S48-0.57*SIN(3*O48-2*Q48)*S48*S48*S48+(-0.02*SIN(N48+2*P48+2*Q48)-0.02*SIN(N48+2*P48)-9.52*SIN(N48+2*P48-2*Q48)-0.33*SIN(N48+2*P48-4*Q48)-3.37*SIN(N48-2*P48+2*Q48)+85.13*SIN(N48-2*P48)+0.71*SIN(N48-2*P48-2*Q48)+0.02*SIN(N48-2*P48-4*Q48))*R48*T48*T48+(0.1*SIN(O48+2*P48)-2.26*SIN(O48+2*P48-2*Q48)-1.3*SIN(O48-2*P48+2*Q48)-0.04*SIN(O48-2*P48-2*Q48))*S48*T48*T48+(3.6*SIN(4*N48)-1.58*SIN(4*N48-2*Q48))*R48*R48*R48*R48+(-0.94*SIN(3*N48+O48)-0.57*SIN(3*N48+O48-2*Q48)+0.96*SIN(3*N48-O48))*R48*R48*R48*S48+(-0.27*SIN(2*N48+2*O48-2*Q48)+0.21*SIN(2*N48-2*O48-2*Q48))*R48*R48*S48*S48-0.22*SIN(N48+3*O48-2*Q48)*R48*S48*S48*S48+(-0.75*SIN(2*N48+2*P48-2*Q48)-0.38*SIN(2*N48-2*P48+2*Q48)+0.74*SIN(2*N48-2*P48)+1.14*SIN(2*N48-2*P48-2*Q48))*R48*R48*T48*T48+(0.02*SIN(N48+O48+2*P48)+0.07*SIN(N48+O48-2*P48-2*Q48)+0.03*SIN(N48-O48+2*P48)-0.19*SIN(N48-O48-2*P48+2*Q48))*R48*S48*T48*T48-0.04*SIN(3*N48+2*P48)*R48*R48*R48*T48*T48</f>
        <v>-19488.158025798344</v>
      </c>
      <c r="AA48" s="17">
        <f>W48+(-0.166*COS(3*N48+2*Q48)-1.3*COS(3*N48)+0.258*COS(3*N48-2*Q48)+0.042*COS(3*N48-4*Q48)-0.002*COS(3*N48-6*Q48))*R48*R48*R48+(0.116*COS(2*N48+O48+2*Q48)+0.259*COS(2*N48+O48)+0.078*COS(2*N48+O48-2*Q48)+0.022*COS(2*N48+O48-4*Q48)-0.212*COS(2*N48-O48+2*Q48)-0.151*COS(2*N48-O48)+0.001*COS(2*N48-O48-Q48)-0.003*COS(2*N48-O48-2*Q48)-0.012*COS(2*N48-O48-4*Q48))*R48*R48*S48+(0.008*COS(N48+2*O48)+0.117*COS(N48+2*O48-2*Q48)-0.032*COS(N48+2*O48-4*Q48)-0.105*COS(N48-2*O48+2*Q48)+0.027*COS(N48-2*O48)-0.014*COS(N48-2*O48-2*Q48))*R48*S48*S48-0.025*COS(3*O48-2*Q48)*S48*S48*S48+(-0.145*COS(4*N48)+0.052*COS(4*N48-2*Q48))*R48*R48*R48*R48+(0.032*COS(3*N48+O48)+0.005*COS(3*N48+O48-2*Q48)-0.026*COS(3*N48-O48))*R48*R48*R48*S48+(0.002*COS(2*N48+2*O48-2*Q48)-0.003*COS(2*N48-2*O48-2*Q48))*R48*R48*S48*S48+0.004*COS(N48+3*O48-2*Q48)*R48*S48*S48*S48</f>
        <v>-3.1357224571374291</v>
      </c>
      <c r="AB48" s="17">
        <f>X48+(0.0243*COS(3*N48+2*Q48)+0.6215*COS(3*N48)-0.1187*COS(3*N48-2*Q48)+0.0074*COS(3*N48-4*Q48)+0.0046*COS(3*N48-6*Q48))*R48*R48*R48+(-0.0051*COS(2*N48+O48+2*Q48)-0.1038*COS(2*N48+O48)-0.0192*COS(2*N48+O48-2*Q48)+0.0324*COS(2*N48+O48-4*Q48)+0.0213*COS(2*N48-O48+2*Q48)+0.1268*COS(2*N48-O48)-0.0028*COS(2*N48-O48-Q48)-0.0017*COS(2*N48-O48-2*Q48)-0.0043*COS(2*N48-O48-4*Q48))*R48*R48*S48+(-0.0106*COS(N48+2*O48)+0.0484*COS(N48+2*O48-2*Q48)+0.0044*COS(N48+2*O48-4*Q48)+0.0112*COS(N48-2*O48+2*Q48)+0.0196*COS(N48-2*O48)-0.0212*COS(N48-2*O48-2*Q48))*R48*S48*S48+0.0036*COS(3*O48-2*Q48)*S48*S48*S48+(-0.001*COS(N48+2*P48)-0.0833*COS(N48+2*P48-2*Q48)+0.0014*COS(N48+2*P48-4*Q48)-0.0481*COS(N48-2*P48+2*Q48)-0.7136*COS(N48-2*P48)-0.0112*COS(N48-2*P48-2*Q48))*R48*T48*T48+(0.0013*COS(O48+2*P48)-0.0066*COS(O48+2*P48-2*Q48)+0.0014*COS(O48-2*P48+2*Q48))*S48*T48*T48+(0.0401*COS(4*N48)-0.013*COS(4*N48-2*Q48))*R48*R48*R48*R48+(-0.0097*COS(3*N48+O48)-0.0045*COS(3*N48+O48-2*Q48)+0.0115*COS(3*N48-O48))*R48*R48*R48*S48-0.0009*COS(2*N48+2*O48-2*Q48)*R48*R48*S48*S48+0.0014*COS(N48+3*O48-2*Q48)*R48*S48*S48*S48+(0.0004*COS(2*N48+2*P48)-0.009*COS(2*N48+2*P48-2*Q48)-0.0053*COS(2*N48-2*P48+2*Q48)+0.0004*COS(2*N48-2*P48)-0.0141*COS(2*N48-2*P48-2*Q48))*R48*R48*T48*T48+(-0.0006*COS(N48+O48-2*P48-2*Q48)+0.0003*COS(N48-O48+2*P48)-0.0027*COS(N48-O48-2*P48+2*Q48))*R48*S48*T48*T48</f>
        <v>-16.204933264929483</v>
      </c>
      <c r="AC48" s="17">
        <f>(P48*180/PI()+Z48/3600)*PI()/180</f>
        <v>3.8061261559059347</v>
      </c>
      <c r="AD48" s="17">
        <f t="shared" si="4"/>
        <v>4.2396681563738303</v>
      </c>
      <c r="AE48" s="17">
        <f t="shared" si="5"/>
        <v>-5.6949298047702407E-2</v>
      </c>
      <c r="AF48" s="17">
        <f>ASIN(0.999953253*(3422.7+AB48)*PI()/648000)</f>
        <v>1.6515132835051689E-2</v>
      </c>
      <c r="AG48" s="17">
        <f>0.2725076*AF48</f>
        <v>4.5004992125611317E-3</v>
      </c>
      <c r="AH48" s="17">
        <f>MOD(ATAN2(COS(AD48)*COS(AE48),COS(M48)*SIN(AD48)*COS(AE48)-SIN(M48)*SIN(AE48)),2*PI())</f>
        <v>4.1918329436439397</v>
      </c>
      <c r="AI48" s="17">
        <f>ASIN(SIN(M48)*SIN(AD48)*COS(AE48)+COS(M48)*SIN(AE48))</f>
        <v>-0.41784504807927747</v>
      </c>
      <c r="AJ48" s="17">
        <f t="shared" si="6"/>
        <v>242.91509189623122</v>
      </c>
      <c r="AK48" s="17">
        <f t="shared" si="6"/>
        <v>-3.2629544243659665</v>
      </c>
      <c r="AL48" s="17">
        <f>INT(AH48*432000/PI()+0.6)/36000</f>
        <v>16.011638888888889</v>
      </c>
      <c r="AM48" s="17">
        <f>INT(AI48*648000/PI()-0.5)/3600</f>
        <v>-23.941111111111113</v>
      </c>
      <c r="AN48" s="17">
        <f>INT(AF48*648000/PI()+0.5)/3600</f>
        <v>0.94611111111111112</v>
      </c>
      <c r="AO48" s="17">
        <f t="shared" ref="AO48:AO72" si="12">AO47</f>
        <v>16.513999999999999</v>
      </c>
      <c r="AP48" s="17">
        <f t="shared" si="7"/>
        <v>-0.50236111111111015</v>
      </c>
      <c r="AQ48" s="18">
        <f t="shared" si="8"/>
        <v>0</v>
      </c>
      <c r="AR48" s="18">
        <f t="shared" si="9"/>
        <v>1</v>
      </c>
      <c r="AS48" s="4">
        <f t="shared" si="10"/>
        <v>0</v>
      </c>
      <c r="AT48" s="4"/>
      <c r="AU48" s="4"/>
      <c r="AV48" s="4"/>
      <c r="AW48" s="4"/>
      <c r="AX48" s="4"/>
      <c r="AY48" s="4"/>
      <c r="AZ48" s="4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</row>
    <row r="49" spans="1:109" ht="13.5" hidden="1" customHeight="1">
      <c r="A49" s="2">
        <f t="shared" si="11"/>
        <v>2</v>
      </c>
      <c r="B49" s="19">
        <f t="shared" ref="B49:B72" si="13">B48+1/876600</f>
        <v>0.23793520419803788</v>
      </c>
      <c r="C49" s="8">
        <f>MOD((((0.064*B49+31.31)*B49+1717915922.633)*B49+485866.733)/3600,360)*PI()/180</f>
        <v>4.8410796360838138</v>
      </c>
      <c r="D49" s="8">
        <f>MOD((((-0.012*B49-0.577)*B49+(99*1296000+1292581.224)*B49)+1287099.804)/3600,360)*PI()/180</f>
        <v>4.9387421027692415</v>
      </c>
      <c r="E49" s="8">
        <f>MOD((((0.011*B49-13.257)*B49+1739527263.137*B49)+335778.877)/3600,360)*PI()/180</f>
        <v>3.9102661309345232</v>
      </c>
      <c r="F49" s="8">
        <f>MOD((((0.019*B49-6.891)*B49+1602961601.328*B49)+1072261.307)/3600,360)*PI()/180</f>
        <v>0.74300412583231634</v>
      </c>
      <c r="G49" s="8">
        <f>MOD((((0.008*B49+7.455)*B49-6962890.539*B49)+450160.28)/3600,360)*PI()/180</f>
        <v>0.43364291602489846</v>
      </c>
      <c r="H49" s="7">
        <f t="shared" si="0"/>
        <v>-84958.538923652988</v>
      </c>
      <c r="I49" s="8">
        <f t="shared" si="1"/>
        <v>-4.1197799186679398E-5</v>
      </c>
      <c r="J49" s="7">
        <f t="shared" si="2"/>
        <v>85947.222509182058</v>
      </c>
      <c r="K49" s="8">
        <f t="shared" si="3"/>
        <v>4.1667503554134099E-5</v>
      </c>
      <c r="L49" s="8">
        <f>(((((((((((245*B49/100+579)*B49/100+2787)*B49/100+712)*B49/100-3905)*B49/100-24967)*B49/100-5138)*B49/1007+199925)*B49/100-155)*B49/100-468093)*B49/100+158144.8)/360000+23)*PI()/180</f>
        <v>0.40903880779704777</v>
      </c>
      <c r="M49" s="8">
        <f>L49+K49</f>
        <v>0.40908047530060188</v>
      </c>
      <c r="N49" s="17">
        <f>MOD(2*PI()*(0.37489701+(0.00002565*B49+1325.55240982)*B49)+(2.94*SIN(2*PI()*(0.19833+0.05611*B49))+0.31*SIN(2*PI()*(0.27869+0.04508*B49))+14.27*SIN(2*PI()*(0.16827-0.36903*B49))+9.34*SIN(2*PI()*(0.34734-5.37261*B49))+1.12*SIN(2*PI()*(0.10498-5.37899*B49))+0.83*SIN(2*PI()*(0.42681-0.41855*B49)))*PI()/648000,2*PI())</f>
        <v>4.8411462760444621</v>
      </c>
      <c r="O49" s="17">
        <f>MOD(2*PI()*(0.99312619+(-0.00000044*B49+99.99735956)*B49)+(-6.4*SIN(2*PI()*(0.19833+0.05611*B49))-1.89*SIN(2*PI()*(0.42681-0.41855*B49)))*PI()/648000,2*PI())</f>
        <v>4.9386605916985218</v>
      </c>
      <c r="P49" s="17">
        <f>MOD(2*PI()*(0.25909118+(-0.00000892*B49+1342.2278298)*B49)+(0.21*SIN(2*PI()*(0.19833+0.05611*B49))+0.31*SIN(2*PI()*(0.27869+0.04508*B49))+14.27*SIN(2*PI()*(0.16827-0.36903*B49))-88.7*SIN(2*PI()*(0.34734-5.37261*B49))-15.3*SIN(2*PI()*(0.10498-5.37899*B49))+0.24*SIN(2*PI()*(0.42681-0.41855*B49))-1.86*SIN(2*PI()*(0.14943-5.37511*B49)))*PI()/648000,2*PI())</f>
        <v>3.9102280835959604</v>
      </c>
      <c r="Q49" s="17">
        <f>MOD(2*PI()*(0.82736186+(-0.00000397*B49+1236.85308708)*B49)+(7.24*SIN(2*PI()*(0.19833+0.05611*B49))+0.31*SIN(2*PI()*(0.27869+0.04508*B49))+14.27*SIN(2*PI()*(0.16827-0.36903*B49))+7.26*SIN(2*PI()*(0.34734-5.37261*B49))+0.28*SIN(2*PI()*(0.10498-5.37899*B49))+2.13*SIN(2*PI()*(0.42681-0.41855*B49)))*PI()/648000,2*PI())</f>
        <v>0.7431002456645146</v>
      </c>
      <c r="R49" s="17">
        <f>1.000002208</f>
        <v>1.0000022079999999</v>
      </c>
      <c r="S49" s="17">
        <f>1-0.002495388*(B49+1)</f>
        <v>0.99691087134666667</v>
      </c>
      <c r="T49" s="17">
        <f>1.000002708+139.978*((SIN(2*PI()*(0.59734-5.37261*B49))*-3332+SIN(2*PI()*(0.35498-5.37899*B49))*-539+SIN(2*PI()*(0.39943-5.37511*B49))*-64)/1000000000)</f>
        <v>0.999538999404046</v>
      </c>
      <c r="U49" s="17">
        <f>13.902*SIN(4*Q49)+0.403*SIN(3*Q49)+2369.912*SIN(2*Q49)-125.154*SIN(Q49)+(1.979*SIN(N49+4*Q49)+191.953*SIN(N49+2*Q49)-8.466*SIN(N49+Q49)+22639.5*SIN(N49)+18.609*SIN(N49-Q49)-4586.465*SIN(N49-2*Q49)+3.215*SIN(N49-3*Q49)-38.428*SIN(N49-4*Q49)-0.393*SIN(N49-6*Q49))*R49+(-0.289*SIN(O49+4*Q49)-24.42*SIN(O49+2*Q49)+18.023*SIN(O49+Q49)-668.146*SIN(O49)+0.56*SIN(O49-Q49)-165.145*SIN(O49-2*Q49)-1.877*SIN(O49-4*Q49))*S49+(0.213*SIN(2*N49+4*Q49)+14.387*SIN(2*N49+2*Q49)-0.586*SIN(2*N49+Q49)+769.016*SIN(2*N49)+1.75*SIN(2*N49-Q49)-211.656*SIN(2*N49-2*Q49)+1.225*SIN(2*N49-3*Q49)-30.773*SIN(2*N49-4*Q49)-0.57*SIN(2*N49-6*Q49))*R49*R49+(-2.921*SIN(N49+O49+2*Q49)+1.267*SIN(N49+O49+Q49)-109.673*SIN(N49+O49)-205.962*SIN(N49+O49-2*Q49)+0.233*SIN(N49+O49-3*Q49)-4.391*SIN(N49+O49-4*Q49)+0.283*SIN(N49-O49+4*Q49)+14.577*SIN(N49-O49+2*Q49)+147.687*SIN(N49-O49)-1.089*SIN(N49-O49-Q49)+28.475*SIN(N49-O49-2*Q49)-0.276*SIN(N49-O49-3*Q49)+0.636*SIN(N49-O49-4*Q49))*R49*S49+(-0.189*SIN(2*O49+2*Q49)-7.486*SIN(2*O49)-8.096*SIN(2*O49-2*Q49))*S49*S49+(-5.741*SIN(2*P49+2*Q49)+0.255*SIN(2*P49+Q49)-411.608*SIN(2*P49)+0.584*SIN(2*P49-Q49)-55.173*SIN(2*P49-2*Q49)+0.254*SIN(2*P49-3*Q49)+0.025*SIN(2*P49-4*Q49))*T49*T49</f>
        <v>-19565.018326927689</v>
      </c>
      <c r="V49" s="17">
        <f>14.06*SIN(4*Q49)-4.01*SIN(3*Q49)+2373.36*SIN(2*Q49)-112.79*SIN(Q49)+(6.98*SIN(N49+4*Q49)+192.72*SIN(N49+2*Q49)-13.51*SIN(N49+Q49)+22609.07*SIN(N49)+3.59*SIN(N49-Q49)-4578.13*SIN(N49-2*Q49)+5.44*SIN(N49-3*Q49)-38.64*SIN(N49-4*Q49)-1.43*SIN(N49-6*Q49))*R49+(-1.59*SIN(O49+4*Q49)-25.1*SIN(O49+2*Q49)+17.93*SIN(O49+Q49)-126.98*SIN(O49)+0.32*SIN(O49-Q49)-165.06*SIN(O49-2*Q49)-6.46*SIN(O49-4*Q49))*S49+(1.02*SIN(2*N49+4*Q49)+14.78*SIN(2*N49+2*Q49)-1.2*SIN(2*N49+Q49)+767.96*SIN(2*N49)+2.01*SIN(2*N49-Q49)-152.53*SIN(2*N49-2*Q49)+0.91*SIN(2*N49-3*Q49)-34.07*SIN(2*N49-4*Q49)-1.4*SIN(2*N49-6*Q49))*R49*R49+(-11.75*SIN(N49+O49+2*Q49)+1.52*SIN(N49+O49+Q49)-115.18*SIN(N49+O49)-182.36*SIN(N49+O49-2*Q49)+0.36*SIN(N49+O49-3*Q49)-9.66*SIN(N49+O49-4*Q49)+1.53*SIN(N49-O49+4*Q49)+31.7*SIN(N49-O49+2*Q49)+138.76*SIN(N49-O49)+0.55*SIN(N49-O49-Q49)+23.59*SIN(N49-O49-2*Q49)-0.38*SIN(N49-O49-3*Q49)+2.27*SIN(N49-O49-4*Q49))*R49*S49+(-1.68*SIN(2*O49+2*Q49)-0.66*SIN(2*O49)-16.35*SIN(2*O49-2*Q49))*S49*S49+(-0.04*SIN(2*P49+2*Q49)-0.2*SIN(2*P49)+0.84*SIN(2*P49-Q49)-52.14*SIN(2*P49-2*Q49)+0.25*SIN(2*P49-3*Q49)-1.67*SIN(2*P49-4*Q49))*T49*T49</f>
        <v>-19527.734854897368</v>
      </c>
      <c r="W49" s="17">
        <f>-0.001*COS(4*Q49)+0.394*COS(3*Q49)+0.601*COS(2*Q49)-0.725*COS(Q49)+(-0.445*COS(N49+4*Q49)+0.029*COS(N49+2*Q49)+0.455*COS(N49+Q49)+0.079*COS(N49)-0.094*COS(N49-Q49)-0.077*COS(N49-2*Q49)+0.192*COS(N49-3*Q49)+0.001*COS(N49-4*Q49)-0.092*COS(N49-6*Q49))*R49+(0.123*COS(O49+4*Q49)+0.04*COS(O49+2*Q49)+0.007*COS(O49+Q49)-1.302*COS(O49)-0.001*COS(O49-Q49)+0.054*COS(O49-2*Q49)-0.416*COS(O49-4*Q49))*S49+(-0.074*COS(2*N49+4*Q49)-0.017*COS(2*N49+2*Q49)+0.054*COS(2*N49+Q49)+0.107*COS(2*N49)-0.018*COS(2*N49-Q49)+5.679*COS(2*N49-2*Q49)-0.03*COS(2*N49-3*Q49)-0.308*COS(2*N49-4*Q49)-0.074*COS(2*N49-6*Q49))*R49*R49+(0.787*COS(N49+O49+2*Q49)-0.022*COS(N49+O49+Q49)+0.461*COS(N49+O49)+2.056*COS(N49+O49-2*Q49)+0.012*COS(N49+O49-3*Q49)-0.471*COS(N49+O49-4*Q49)-0.111*COS(N49-O49+4*Q49)-1.54*COS(N49-O49+2*Q49)+0.679*COS(N49-O49)+0.021*COS(N49-O49-Q49)-0.443*COS(N49-O49-2*Q49)-0.006*COS(N49-O49-3*Q49)+0.146*COS(N49-O49-4*Q49))*R49*S49+(0.131*COS(2*O49+2*Q49)-0.037*COS(2*O49)-0.74*COS(2*O49-2*Q49))*S49*S49</f>
        <v>-3.6958173889020816</v>
      </c>
      <c r="X49" s="17">
        <f>0.2607*COS(4*Q49)+0.0023*COS(3*Q49)+28.2333*COS(2*Q49)-0.9781*COS(Q49)+(0.0433*COS(N49+4*Q49)+3.0861*COS(N49+2*Q49)-0.1093*COS(N49+Q49)+186.5398*COS(N49)+0.0118*COS(N49-Q49)+34.3117*COS(N49-2*Q49)-0.0386*COS(N49-3*Q49)+0.6008*COS(N49-4*Q49)+0.0086*COS(N49-6*Q49))*R49+(-0.0053*COS(O49+4*Q49)-0.3*COS(O49+2*Q49)+0.1494*COS(O49+Q49)-0.3997*COS(O49)-0.0037*COS(O49-Q49)+1.9178*COS(O49-2*Q49)+0.0339*COS(O49-4*Q49))*S49+(0.0054*COS(2*N49+4*Q49)+0.2833*COS(2*N49+2*Q49)-0.01*COS(2*N49+Q49)+10.1657*COS(2*N49)+0.0155*COS(2*N49-Q49)-0.3039*COS(2*N49-2*Q49)-0.0088*COS(2*N49-3*Q49)+0.3722*COS(2*N49-4*Q49)+0.0109*COS(2*N49-6*Q49))*R49*R49+(-0.0484*COS(N49+O49+2*Q49)+0.0164*COS(N49+O49+Q49)-0.949*COS(N49+O49)+1.4437*COS(N49+O49-2*Q49)-0.0025*COS(N49+O49-3*Q49)+0.0673*COS(N49+O49-4*Q49)+0.006*COS(N49-O49+4*Q49)+0.2302*COS(N49-O49+2*Q49)+1.1528*COS(N49-O49)-0.2257*COS(N49-O49-2*Q49)-0.0036*COS(N49-O49-3*Q49)-0.0102*COS(N49-O49-4*Q49))*R49*S49+(-0.0028*COS(2*O49+2*Q49)-0.0086*COS(2*O49)+0.0918*COS(2*O49-2*Q49))*S49*S49+(-0.0009*COS(2*P49+2*Q49)-0.0124*COS(2*P49)+0.0071*COS(2*P49-Q49)-0.1052*COS(2*P49-2*Q49)-0.0017*COS(2*P49-3*Q49)+0.0031*COS(2*P49-4*Q49))*T49*T49</f>
        <v>-15.385103279186646</v>
      </c>
      <c r="Y49" s="17">
        <f>U49+(1.06*SIN(3*N49+2*Q49)+36.124*SIN(3*N49)-13.193*SIN(3*N49-2*Q49)-1.187*SIN(3*N49-4*Q49)-0.293*SIN(3*N49-6*Q49))*R49*R49*R49+(-0.29*SIN(2*N49+O49+2*Q49)-7.649*SIN(2*N49+O49)-8.627*SIN(2*N49+O49-2*Q49)-2.74*SIN(2*N49+O49-4*Q49)+1.181*SIN(2*N49-O49+2*Q49)+9.703*SIN(2*N49-O49)-0.352*SIN(2*N49-O49-Q49)-2.494*SIN(2*N49-O49-2*Q49)+0.36*SIN(2*N49-O49-4*Q49))*R49*R49*S49+(-1.167*SIN(N49+2*O49)-7.412*SIN(N49+2*O49-2*Q49)-0.311*SIN(N49+2*O49-4*Q49)+0.757*SIN(N49-2*O49+2*Q49)+2.58*SIN(N49-2*O49)+2.533*SIN(N49-2*O49-2*Q49))*R49*S49*S49-0.344*SIN(3*O49-2*Q49)*S49*S49*S49+(-0.992*SIN(N49+2*P49+2*Q49)-45.099*SIN(N49+2*P49)-0.179*SIN(N49+2*P49-2*Q49)-0.301*SIN(N49+2*P49-4*Q49)-6.382*SIN(N49-2*P49+2*Q49)+39.528*SIN(N49-2*P49)+9.366*SIN(N49-2*P49-2*Q49)+0.202*SIN(N49-2*P49-4*Q49))*R49*T49*T49+(0.415*SIN(O49+2*P49)-2.152*SIN(O49+2*P49-2*Q49)-1.44*SIN(O49-2*P49+2*Q49)+0.384*SIN(O49-2*P49-2*Q49))*S49*T49*T49+(1.938*SIN(4*N49)-0.952*SIN(4*N49-2*Q49))*R49*R49*R49*R49+(-0.551*SIN(3*N49+O49)-0.482*SIN(3*N49+O49-2*Q49)+0.681*SIN(3*N49-O49))*R49*R49*R49*S49+(-0.297*SIN(2*N49+2*O49-2*Q49)+0.254*SIN(2*N49-2*O49-2*Q49))*R49*R49*S49*S49-0.25*SIN(N49+3*O49-2*Q49)*R49*S49*S49*S49+(-3.996*SIN(2*N49+2*P49)+0.557*SIN(2*N49+2*P49-2*Q49)-0.459*SIN(2*N49-2*P49+2*Q49)-1.298*SIN(2*N49-2*P49)+0.538*SIN(2*N49-2*P49-2*Q49))*R49*R49*T49*T49+(0.263*SIN(N49+O49+2*P49)+0.426*SIN(N49+O49-2*P49-2*Q49)-0.304*SIN(N49-O49+2*P49)-0.372*SIN(N49-O49-2*P49+2*Q49))*R49*S49*T49*T49+0.418*SIN(4*P49)*T49*T49*T49*T49-0.33*SIN(3*N49+2*P49)*R49*R49*R49*T49*T49</f>
        <v>-19545.574959520305</v>
      </c>
      <c r="Z49" s="17">
        <f>V49+(2.96*SIN(3*N49+2*Q49)+50.64*SIN(3*N49)-16.4*SIN(3*N49-2*Q49)-0.74*SIN(3*N49-4*Q49)-0.31*SIN(3*N49-6*Q49))*R49*R49*R49+(-1.45*SIN(2*N49+O49+2*Q49)-10.56*SIN(2*N49+O49)-7.59*SIN(2*N49+O49-2*Q49)-2.54*SIN(2*N49+O49-4*Q49)+3.32*SIN(2*N49-O49+2*Q49)+11.67*SIN(2*N49-O49)-0.37*SIN(2*N49-O49-Q49)-1.17*SIN(2*N49-O49-2*Q49)+0.2*SIN(2*N49-O49-4*Q49))*R49*R49*S49+(-1.25*SIN(N49+2*O49)-6.12*SIN(N49+2*O49-2*Q49)-0.65*SIN(N49+2*O49-4*Q49)+1.82*SIN(N49-2*O49+2*Q49)+2.32*SIN(N49-2*O49)+2.4*SIN(N49-2*O49-2*Q49))*R49*S49*S49-0.57*SIN(3*O49-2*Q49)*S49*S49*S49+(-0.02*SIN(N49+2*P49+2*Q49)-0.02*SIN(N49+2*P49)-9.52*SIN(N49+2*P49-2*Q49)-0.33*SIN(N49+2*P49-4*Q49)-3.37*SIN(N49-2*P49+2*Q49)+85.13*SIN(N49-2*P49)+0.71*SIN(N49-2*P49-2*Q49)+0.02*SIN(N49-2*P49-4*Q49))*R49*T49*T49+(0.1*SIN(O49+2*P49)-2.26*SIN(O49+2*P49-2*Q49)-1.3*SIN(O49-2*P49+2*Q49)-0.04*SIN(O49-2*P49-2*Q49))*S49*T49*T49+(3.6*SIN(4*N49)-1.58*SIN(4*N49-2*Q49))*R49*R49*R49*R49+(-0.94*SIN(3*N49+O49)-0.57*SIN(3*N49+O49-2*Q49)+0.96*SIN(3*N49-O49))*R49*R49*R49*S49+(-0.27*SIN(2*N49+2*O49-2*Q49)+0.21*SIN(2*N49-2*O49-2*Q49))*R49*R49*S49*S49-0.22*SIN(N49+3*O49-2*Q49)*R49*S49*S49*S49+(-0.75*SIN(2*N49+2*P49-2*Q49)-0.38*SIN(2*N49-2*P49+2*Q49)+0.74*SIN(2*N49-2*P49)+1.14*SIN(2*N49-2*P49-2*Q49))*R49*R49*T49*T49+(0.02*SIN(N49+O49+2*P49)+0.07*SIN(N49+O49-2*P49-2*Q49)+0.03*SIN(N49-O49+2*P49)-0.19*SIN(N49-O49-2*P49+2*Q49))*R49*S49*T49*T49-0.04*SIN(3*N49+2*P49)*R49*R49*R49*T49*T49</f>
        <v>-19505.11237060422</v>
      </c>
      <c r="AA49" s="17">
        <f>W49+(-0.166*COS(3*N49+2*Q49)-1.3*COS(3*N49)+0.258*COS(3*N49-2*Q49)+0.042*COS(3*N49-4*Q49)-0.002*COS(3*N49-6*Q49))*R49*R49*R49+(0.116*COS(2*N49+O49+2*Q49)+0.259*COS(2*N49+O49)+0.078*COS(2*N49+O49-2*Q49)+0.022*COS(2*N49+O49-4*Q49)-0.212*COS(2*N49-O49+2*Q49)-0.151*COS(2*N49-O49)+0.001*COS(2*N49-O49-Q49)-0.003*COS(2*N49-O49-2*Q49)-0.012*COS(2*N49-O49-4*Q49))*R49*R49*S49+(0.008*COS(N49+2*O49)+0.117*COS(N49+2*O49-2*Q49)-0.032*COS(N49+2*O49-4*Q49)-0.105*COS(N49-2*O49+2*Q49)+0.027*COS(N49-2*O49)-0.014*COS(N49-2*O49-2*Q49))*R49*S49*S49-0.025*COS(3*O49-2*Q49)*S49*S49*S49+(-0.145*COS(4*N49)+0.052*COS(4*N49-2*Q49))*R49*R49*R49*R49+(0.032*COS(3*N49+O49)+0.005*COS(3*N49+O49-2*Q49)-0.026*COS(3*N49-O49))*R49*R49*R49*S49+(0.002*COS(2*N49+2*O49-2*Q49)-0.003*COS(2*N49-2*O49-2*Q49))*R49*R49*S49*S49+0.004*COS(N49+3*O49-2*Q49)*R49*S49*S49*S49</f>
        <v>-3.0515556389223342</v>
      </c>
      <c r="AB49" s="17">
        <f>X49+(0.0243*COS(3*N49+2*Q49)+0.6215*COS(3*N49)-0.1187*COS(3*N49-2*Q49)+0.0074*COS(3*N49-4*Q49)+0.0046*COS(3*N49-6*Q49))*R49*R49*R49+(-0.0051*COS(2*N49+O49+2*Q49)-0.1038*COS(2*N49+O49)-0.0192*COS(2*N49+O49-2*Q49)+0.0324*COS(2*N49+O49-4*Q49)+0.0213*COS(2*N49-O49+2*Q49)+0.1268*COS(2*N49-O49)-0.0028*COS(2*N49-O49-Q49)-0.0017*COS(2*N49-O49-2*Q49)-0.0043*COS(2*N49-O49-4*Q49))*R49*R49*S49+(-0.0106*COS(N49+2*O49)+0.0484*COS(N49+2*O49-2*Q49)+0.0044*COS(N49+2*O49-4*Q49)+0.0112*COS(N49-2*O49+2*Q49)+0.0196*COS(N49-2*O49)-0.0212*COS(N49-2*O49-2*Q49))*R49*S49*S49+0.0036*COS(3*O49-2*Q49)*S49*S49*S49+(-0.001*COS(N49+2*P49)-0.0833*COS(N49+2*P49-2*Q49)+0.0014*COS(N49+2*P49-4*Q49)-0.0481*COS(N49-2*P49+2*Q49)-0.7136*COS(N49-2*P49)-0.0112*COS(N49-2*P49-2*Q49))*R49*T49*T49+(0.0013*COS(O49+2*P49)-0.0066*COS(O49+2*P49-2*Q49)+0.0014*COS(O49-2*P49+2*Q49))*S49*T49*T49+(0.0401*COS(4*N49)-0.013*COS(4*N49-2*Q49))*R49*R49*R49*R49+(-0.0097*COS(3*N49+O49)-0.0045*COS(3*N49+O49-2*Q49)+0.0115*COS(3*N49-O49))*R49*R49*R49*S49-0.0009*COS(2*N49+2*O49-2*Q49)*R49*R49*S49*S49+0.0014*COS(N49+3*O49-2*Q49)*R49*S49*S49*S49+(0.0004*COS(2*N49+2*P49)-0.009*COS(2*N49+2*P49-2*Q49)-0.0053*COS(2*N49-2*P49+2*Q49)+0.0004*COS(2*N49-2*P49)-0.0141*COS(2*N49-2*P49-2*Q49))*R49*R49*T49*T49+(-0.0006*COS(N49+O49-2*P49-2*Q49)+0.0003*COS(N49-O49+2*P49)-0.0027*COS(N49-O49-2*P49+2*Q49))*R49*S49*T49*T49</f>
        <v>-14.949091226677604</v>
      </c>
      <c r="AC49" s="17">
        <f>(P49*180/PI()+Z49/3600)*PI()/180</f>
        <v>3.8156646303074826</v>
      </c>
      <c r="AD49" s="17">
        <f t="shared" si="4"/>
        <v>4.2491576140340186</v>
      </c>
      <c r="AE49" s="17">
        <f t="shared" si="5"/>
        <v>-5.7636001441867007E-2</v>
      </c>
      <c r="AF49" s="17">
        <f>ASIN(0.999953253*(3422.7+AB49)*PI()/648000)</f>
        <v>1.6521221875126404E-2</v>
      </c>
      <c r="AG49" s="17">
        <f>0.2725076*AF49</f>
        <v>4.5021585222581968E-3</v>
      </c>
      <c r="AH49" s="17">
        <f>MOD(ATAN2(COS(AD49)*COS(AE49),COS(M49)*SIN(AD49)*COS(AE49)-SIN(M49)*SIN(AE49)),2*PI())</f>
        <v>4.2018547815408134</v>
      </c>
      <c r="AI49" s="17">
        <f>ASIN(SIN(M49)*SIN(AD49)*COS(AE49)+COS(M49)*SIN(AE49))</f>
        <v>-0.42037926481935411</v>
      </c>
      <c r="AJ49" s="17">
        <f t="shared" si="6"/>
        <v>243.45879777002807</v>
      </c>
      <c r="AK49" s="17">
        <f t="shared" si="6"/>
        <v>-3.302299630628907</v>
      </c>
      <c r="AL49" s="17">
        <f>INT(AH49*432000/PI()+0.6)/36000</f>
        <v>16.049916666666668</v>
      </c>
      <c r="AM49" s="17">
        <f>INT(AI49*648000/PI()-0.5)/3600</f>
        <v>-24.086111111111112</v>
      </c>
      <c r="AN49" s="17">
        <f>INT(AF49*648000/PI()+0.5)/3600</f>
        <v>0.94666666666666666</v>
      </c>
      <c r="AO49" s="17">
        <f t="shared" si="12"/>
        <v>16.513999999999999</v>
      </c>
      <c r="AP49" s="17">
        <f t="shared" si="7"/>
        <v>-0.46408333333333118</v>
      </c>
      <c r="AQ49" s="18">
        <f t="shared" si="8"/>
        <v>0</v>
      </c>
      <c r="AR49" s="18">
        <f t="shared" si="9"/>
        <v>1</v>
      </c>
      <c r="AS49" s="4">
        <f t="shared" si="10"/>
        <v>0</v>
      </c>
      <c r="AT49" s="4"/>
      <c r="AU49" s="4"/>
      <c r="AV49" s="4"/>
      <c r="AW49" s="4"/>
      <c r="AX49" s="4"/>
      <c r="AY49" s="4"/>
      <c r="AZ49" s="4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</row>
    <row r="50" spans="1:109" ht="10.5" hidden="1" customHeight="1">
      <c r="A50" s="2">
        <f t="shared" si="11"/>
        <v>3</v>
      </c>
      <c r="B50" s="19">
        <f t="shared" si="13"/>
        <v>0.23793634496919919</v>
      </c>
      <c r="C50" s="8">
        <f t="shared" ref="C50:C73" si="14">MOD((((0.064*B50+31.31)*B50+1717915922.633)*B50+485866.733)/3600,360)*PI()/180</f>
        <v>4.8505807671530112</v>
      </c>
      <c r="D50" s="8">
        <f t="shared" ref="D50:D70" si="15">MOD((((-0.012*B50-0.577)*B50+(99*1296000+1292581.224)*B50)+1287099.804)/3600,360)*PI()/180</f>
        <v>4.9394588515180375</v>
      </c>
      <c r="E50" s="8">
        <f t="shared" ref="E50:E70" si="16">MOD((((0.011*B50-13.257)*B50+1739527263.137*B50)+335778.877)/3600,360)*PI()/180</f>
        <v>3.9198867858443376</v>
      </c>
      <c r="F50" s="8">
        <f t="shared" ref="F50:F70" si="17">MOD((((0.019*B50-6.891)*B50+1602961601.328*B50)+1072261.307)/3600,360)*PI()/180</f>
        <v>0.7518694887262658</v>
      </c>
      <c r="G50" s="8">
        <f t="shared" ref="G50:G70" si="18">MOD((((0.008*B50+7.455)*B50-6962890.539*B50)+450160.28)/3600,360)*PI()/180</f>
        <v>0.43360440700165853</v>
      </c>
      <c r="H50" s="7">
        <f t="shared" si="0"/>
        <v>-84938.049360820092</v>
      </c>
      <c r="I50" s="8">
        <f t="shared" si="1"/>
        <v>-4.1187622433297623E-5</v>
      </c>
      <c r="J50" s="7">
        <f t="shared" si="2"/>
        <v>85924.000081285456</v>
      </c>
      <c r="K50" s="8">
        <f t="shared" si="3"/>
        <v>4.1656133079666281E-5</v>
      </c>
      <c r="L50" s="8">
        <f t="shared" ref="L50:L70" si="19">(((((((((((245*B50/100+579)*B50/100+2787)*B50/100+712)*B50/100-3905)*B50/100-24967)*B50/100-5138)*B50/1007+199925)*B50/100-155)*B50/100-468093)*B50/100+158144.8)/360000+23)*PI()/180</f>
        <v>0.40903880753816507</v>
      </c>
      <c r="M50" s="8">
        <f t="shared" ref="M50:M70" si="20">L50+K50</f>
        <v>0.40908046367124473</v>
      </c>
      <c r="N50" s="17">
        <f t="shared" ref="N50:N70" si="21">MOD(2*PI()*(0.37489701+(0.00002565*B50+1325.55240982)*B50)+(2.94*SIN(2*PI()*(0.19833+0.05611*B50))+0.31*SIN(2*PI()*(0.27869+0.04508*B50))+14.27*SIN(2*PI()*(0.16827-0.36903*B50))+9.34*SIN(2*PI()*(0.34734-5.37261*B50))+1.12*SIN(2*PI()*(0.10498-5.37899*B50))+0.83*SIN(2*PI()*(0.42681-0.41855*B50)))*PI()/648000,2*PI())</f>
        <v>4.850647405290708</v>
      </c>
      <c r="O50" s="17">
        <f t="shared" ref="O50:O70" si="22">MOD(2*PI()*(0.99312619+(-0.00000044*B50+99.99735956)*B50)+(-6.4*SIN(2*PI()*(0.19833+0.05611*B50))-1.89*SIN(2*PI()*(0.42681-0.41855*B50)))*PI()/648000,2*PI())</f>
        <v>4.9393773404153762</v>
      </c>
      <c r="P50" s="17">
        <f t="shared" ref="P50:P70" si="23">MOD(2*PI()*(0.25909118+(-0.00000892*B50+1342.2278298)*B50)+(0.21*SIN(2*PI()*(0.19833+0.05611*B50))+0.31*SIN(2*PI()*(0.27869+0.04508*B50))+14.27*SIN(2*PI()*(0.16827-0.36903*B50))-88.7*SIN(2*PI()*(0.34734-5.37261*B50))-15.3*SIN(2*PI()*(0.10498-5.37899*B50))+0.24*SIN(2*PI()*(0.42681-0.41855*B50))-1.86*SIN(2*PI()*(0.14943-5.37511*B50)))*PI()/648000,2*PI())</f>
        <v>3.9198487549808974</v>
      </c>
      <c r="Q50" s="17">
        <f t="shared" ref="Q50:Q70" si="24">MOD(2*PI()*(0.82736186+(-0.00000397*B50+1236.85308708)*B50)+(7.24*SIN(2*PI()*(0.19833+0.05611*B50))+0.31*SIN(2*PI()*(0.27869+0.04508*B50))+14.27*SIN(2*PI()*(0.16827-0.36903*B50))+7.26*SIN(2*PI()*(0.34734-5.37261*B50))+0.28*SIN(2*PI()*(0.10498-5.37899*B50))+2.13*SIN(2*PI()*(0.42681-0.41855*B50)))*PI()/648000,2*PI())</f>
        <v>0.75196560718389804</v>
      </c>
      <c r="R50" s="17">
        <f t="shared" ref="R50:R73" si="25">1.000002208</f>
        <v>1.0000022079999999</v>
      </c>
      <c r="S50" s="17">
        <f t="shared" ref="S50:S70" si="26">1-0.002495388*(B50+1)</f>
        <v>0.99691086849999999</v>
      </c>
      <c r="T50" s="17">
        <f t="shared" ref="T50:T70" si="27">1.000002708+139.978*((SIN(2*PI()*(0.59734-5.37261*B50))*-3332+SIN(2*PI()*(0.35498-5.37899*B50))*-539+SIN(2*PI()*(0.39943-5.37511*B50))*-64)/1000000000)</f>
        <v>0.99953899470018137</v>
      </c>
      <c r="U50" s="17">
        <f t="shared" ref="U50:U70" si="28">13.902*SIN(4*Q50)+0.403*SIN(3*Q50)+2369.912*SIN(2*Q50)-125.154*SIN(Q50)+(1.979*SIN(N50+4*Q50)+191.953*SIN(N50+2*Q50)-8.466*SIN(N50+Q50)+22639.5*SIN(N50)+18.609*SIN(N50-Q50)-4586.465*SIN(N50-2*Q50)+3.215*SIN(N50-3*Q50)-38.428*SIN(N50-4*Q50)-0.393*SIN(N50-6*Q50))*R50+(-0.289*SIN(O50+4*Q50)-24.42*SIN(O50+2*Q50)+18.023*SIN(O50+Q50)-668.146*SIN(O50)+0.56*SIN(O50-Q50)-165.145*SIN(O50-2*Q50)-1.877*SIN(O50-4*Q50))*S50+(0.213*SIN(2*N50+4*Q50)+14.387*SIN(2*N50+2*Q50)-0.586*SIN(2*N50+Q50)+769.016*SIN(2*N50)+1.75*SIN(2*N50-Q50)-211.656*SIN(2*N50-2*Q50)+1.225*SIN(2*N50-3*Q50)-30.773*SIN(2*N50-4*Q50)-0.57*SIN(2*N50-6*Q50))*R50*R50+(-2.921*SIN(N50+O50+2*Q50)+1.267*SIN(N50+O50+Q50)-109.673*SIN(N50+O50)-205.962*SIN(N50+O50-2*Q50)+0.233*SIN(N50+O50-3*Q50)-4.391*SIN(N50+O50-4*Q50)+0.283*SIN(N50-O50+4*Q50)+14.577*SIN(N50-O50+2*Q50)+147.687*SIN(N50-O50)-1.089*SIN(N50-O50-Q50)+28.475*SIN(N50-O50-2*Q50)-0.276*SIN(N50-O50-3*Q50)+0.636*SIN(N50-O50-4*Q50))*R50*S50+(-0.189*SIN(2*O50+2*Q50)-7.486*SIN(2*O50)-8.096*SIN(2*O50-2*Q50))*S50*S50+(-5.741*SIN(2*P50+2*Q50)+0.255*SIN(2*P50+Q50)-411.608*SIN(2*P50)+0.584*SIN(2*P50-Q50)-55.173*SIN(2*P50-2*Q50)+0.254*SIN(2*P50-3*Q50)+0.025*SIN(2*P50-4*Q50))*T50*T50</f>
        <v>-19581.402184452883</v>
      </c>
      <c r="V50" s="17">
        <f t="shared" ref="V50:V70" si="29">14.06*SIN(4*Q50)-4.01*SIN(3*Q50)+2373.36*SIN(2*Q50)-112.79*SIN(Q50)+(6.98*SIN(N50+4*Q50)+192.72*SIN(N50+2*Q50)-13.51*SIN(N50+Q50)+22609.07*SIN(N50)+3.59*SIN(N50-Q50)-4578.13*SIN(N50-2*Q50)+5.44*SIN(N50-3*Q50)-38.64*SIN(N50-4*Q50)-1.43*SIN(N50-6*Q50))*R50+(-1.59*SIN(O50+4*Q50)-25.1*SIN(O50+2*Q50)+17.93*SIN(O50+Q50)-126.98*SIN(O50)+0.32*SIN(O50-Q50)-165.06*SIN(O50-2*Q50)-6.46*SIN(O50-4*Q50))*S50+(1.02*SIN(2*N50+4*Q50)+14.78*SIN(2*N50+2*Q50)-1.2*SIN(2*N50+Q50)+767.96*SIN(2*N50)+2.01*SIN(2*N50-Q50)-152.53*SIN(2*N50-2*Q50)+0.91*SIN(2*N50-3*Q50)-34.07*SIN(2*N50-4*Q50)-1.4*SIN(2*N50-6*Q50))*R50*R50+(-11.75*SIN(N50+O50+2*Q50)+1.52*SIN(N50+O50+Q50)-115.18*SIN(N50+O50)-182.36*SIN(N50+O50-2*Q50)+0.36*SIN(N50+O50-3*Q50)-9.66*SIN(N50+O50-4*Q50)+1.53*SIN(N50-O50+4*Q50)+31.7*SIN(N50-O50+2*Q50)+138.76*SIN(N50-O50)+0.55*SIN(N50-O50-Q50)+23.59*SIN(N50-O50-2*Q50)-0.38*SIN(N50-O50-3*Q50)+2.27*SIN(N50-O50-4*Q50))*R50*S50+(-1.68*SIN(2*O50+2*Q50)-0.66*SIN(2*O50)-16.35*SIN(2*O50-2*Q50))*S50*S50+(-0.04*SIN(2*P50+2*Q50)-0.2*SIN(2*P50)+0.84*SIN(2*P50-Q50)-52.14*SIN(2*P50-2*Q50)+0.25*SIN(2*P50-3*Q50)-1.67*SIN(2*P50-4*Q50))*T50*T50</f>
        <v>-19543.710301093026</v>
      </c>
      <c r="W50" s="17">
        <f t="shared" ref="W50:W70" si="30">-0.001*COS(4*Q50)+0.394*COS(3*Q50)+0.601*COS(2*Q50)-0.725*COS(Q50)+(-0.445*COS(N50+4*Q50)+0.029*COS(N50+2*Q50)+0.455*COS(N50+Q50)+0.079*COS(N50)-0.094*COS(N50-Q50)-0.077*COS(N50-2*Q50)+0.192*COS(N50-3*Q50)+0.001*COS(N50-4*Q50)-0.092*COS(N50-6*Q50))*R50+(0.123*COS(O50+4*Q50)+0.04*COS(O50+2*Q50)+0.007*COS(O50+Q50)-1.302*COS(O50)-0.001*COS(O50-Q50)+0.054*COS(O50-2*Q50)-0.416*COS(O50-4*Q50))*S50+(-0.074*COS(2*N50+4*Q50)-0.017*COS(2*N50+2*Q50)+0.054*COS(2*N50+Q50)+0.107*COS(2*N50)-0.018*COS(2*N50-Q50)+5.679*COS(2*N50-2*Q50)-0.03*COS(2*N50-3*Q50)-0.308*COS(2*N50-4*Q50)-0.074*COS(2*N50-6*Q50))*R50*R50+(0.787*COS(N50+O50+2*Q50)-0.022*COS(N50+O50+Q50)+0.461*COS(N50+O50)+2.056*COS(N50+O50-2*Q50)+0.012*COS(N50+O50-3*Q50)-0.471*COS(N50+O50-4*Q50)-0.111*COS(N50-O50+4*Q50)-1.54*COS(N50-O50+2*Q50)+0.679*COS(N50-O50)+0.021*COS(N50-O50-Q50)-0.443*COS(N50-O50-2*Q50)-0.006*COS(N50-O50-3*Q50)+0.146*COS(N50-O50-4*Q50))*R50*S50+(0.131*COS(2*O50+2*Q50)-0.037*COS(2*O50)-0.74*COS(2*O50-2*Q50))*S50*S50</f>
        <v>-3.6397471863374644</v>
      </c>
      <c r="X50" s="17">
        <f t="shared" ref="X50:X70" si="31">0.2607*COS(4*Q50)+0.0023*COS(3*Q50)+28.2333*COS(2*Q50)-0.9781*COS(Q50)+(0.0433*COS(N50+4*Q50)+3.0861*COS(N50+2*Q50)-0.1093*COS(N50+Q50)+186.5398*COS(N50)+0.0118*COS(N50-Q50)+34.3117*COS(N50-2*Q50)-0.0386*COS(N50-3*Q50)+0.6008*COS(N50-4*Q50)+0.0086*COS(N50-6*Q50))*R50+(-0.0053*COS(O50+4*Q50)-0.3*COS(O50+2*Q50)+0.1494*COS(O50+Q50)-0.3997*COS(O50)-0.0037*COS(O50-Q50)+1.9178*COS(O50-2*Q50)+0.0339*COS(O50-4*Q50))*S50+(0.0054*COS(2*N50+4*Q50)+0.2833*COS(2*N50+2*Q50)-0.01*COS(2*N50+Q50)+10.1657*COS(2*N50)+0.0155*COS(2*N50-Q50)-0.3039*COS(2*N50-2*Q50)-0.0088*COS(2*N50-3*Q50)+0.3722*COS(2*N50-4*Q50)+0.0109*COS(2*N50-6*Q50))*R50*R50+(-0.0484*COS(N50+O50+2*Q50)+0.0164*COS(N50+O50+Q50)-0.949*COS(N50+O50)+1.4437*COS(N50+O50-2*Q50)-0.0025*COS(N50+O50-3*Q50)+0.0673*COS(N50+O50-4*Q50)+0.006*COS(N50-O50+4*Q50)+0.2302*COS(N50-O50+2*Q50)+1.1528*COS(N50-O50)-0.2257*COS(N50-O50-2*Q50)-0.0036*COS(N50-O50-3*Q50)-0.0102*COS(N50-O50-4*Q50))*R50*S50+(-0.0028*COS(2*O50+2*Q50)-0.0086*COS(2*O50)+0.0918*COS(2*O50-2*Q50))*S50*S50+(-0.0009*COS(2*P50+2*Q50)-0.0124*COS(2*P50)+0.0071*COS(2*P50-Q50)-0.1052*COS(2*P50-2*Q50)-0.0017*COS(2*P50-3*Q50)+0.0031*COS(2*P50-4*Q50))*T50*T50</f>
        <v>-14.114418431151121</v>
      </c>
      <c r="Y50" s="17">
        <f t="shared" ref="Y50:Y70" si="32">U50+(1.06*SIN(3*N50+2*Q50)+36.124*SIN(3*N50)-13.193*SIN(3*N50-2*Q50)-1.187*SIN(3*N50-4*Q50)-0.293*SIN(3*N50-6*Q50))*R50*R50*R50+(-0.29*SIN(2*N50+O50+2*Q50)-7.649*SIN(2*N50+O50)-8.627*SIN(2*N50+O50-2*Q50)-2.74*SIN(2*N50+O50-4*Q50)+1.181*SIN(2*N50-O50+2*Q50)+9.703*SIN(2*N50-O50)-0.352*SIN(2*N50-O50-Q50)-2.494*SIN(2*N50-O50-2*Q50)+0.36*SIN(2*N50-O50-4*Q50))*R50*R50*S50+(-1.167*SIN(N50+2*O50)-7.412*SIN(N50+2*O50-2*Q50)-0.311*SIN(N50+2*O50-4*Q50)+0.757*SIN(N50-2*O50+2*Q50)+2.58*SIN(N50-2*O50)+2.533*SIN(N50-2*O50-2*Q50))*R50*S50*S50-0.344*SIN(3*O50-2*Q50)*S50*S50*S50+(-0.992*SIN(N50+2*P50+2*Q50)-45.099*SIN(N50+2*P50)-0.179*SIN(N50+2*P50-2*Q50)-0.301*SIN(N50+2*P50-4*Q50)-6.382*SIN(N50-2*P50+2*Q50)+39.528*SIN(N50-2*P50)+9.366*SIN(N50-2*P50-2*Q50)+0.202*SIN(N50-2*P50-4*Q50))*R50*T50*T50+(0.415*SIN(O50+2*P50)-2.152*SIN(O50+2*P50-2*Q50)-1.44*SIN(O50-2*P50+2*Q50)+0.384*SIN(O50-2*P50-2*Q50))*S50*T50*T50+(1.938*SIN(4*N50)-0.952*SIN(4*N50-2*Q50))*R50*R50*R50*R50+(-0.551*SIN(3*N50+O50)-0.482*SIN(3*N50+O50-2*Q50)+0.681*SIN(3*N50-O50))*R50*R50*R50*S50+(-0.297*SIN(2*N50+2*O50-2*Q50)+0.254*SIN(2*N50-2*O50-2*Q50))*R50*R50*S50*S50-0.25*SIN(N50+3*O50-2*Q50)*R50*S50*S50*S50+(-3.996*SIN(2*N50+2*P50)+0.557*SIN(2*N50+2*P50-2*Q50)-0.459*SIN(2*N50-2*P50+2*Q50)-1.298*SIN(2*N50-2*P50)+0.538*SIN(2*N50-2*P50-2*Q50))*R50*R50*T50*T50+(0.263*SIN(N50+O50+2*P50)+0.426*SIN(N50+O50-2*P50-2*Q50)-0.304*SIN(N50-O50+2*P50)-0.372*SIN(N50-O50-2*P50+2*Q50))*R50*S50*T50*T50+0.418*SIN(4*P50)*T50*T50*T50*T50-0.33*SIN(3*N50+2*P50)*R50*R50*R50*T50*T50</f>
        <v>-19563.261189799243</v>
      </c>
      <c r="Z50" s="17">
        <f t="shared" ref="Z50:Z70" si="33">V50+(2.96*SIN(3*N50+2*Q50)+50.64*SIN(3*N50)-16.4*SIN(3*N50-2*Q50)-0.74*SIN(3*N50-4*Q50)-0.31*SIN(3*N50-6*Q50))*R50*R50*R50+(-1.45*SIN(2*N50+O50+2*Q50)-10.56*SIN(2*N50+O50)-7.59*SIN(2*N50+O50-2*Q50)-2.54*SIN(2*N50+O50-4*Q50)+3.32*SIN(2*N50-O50+2*Q50)+11.67*SIN(2*N50-O50)-0.37*SIN(2*N50-O50-Q50)-1.17*SIN(2*N50-O50-2*Q50)+0.2*SIN(2*N50-O50-4*Q50))*R50*R50*S50+(-1.25*SIN(N50+2*O50)-6.12*SIN(N50+2*O50-2*Q50)-0.65*SIN(N50+2*O50-4*Q50)+1.82*SIN(N50-2*O50+2*Q50)+2.32*SIN(N50-2*O50)+2.4*SIN(N50-2*O50-2*Q50))*R50*S50*S50-0.57*SIN(3*O50-2*Q50)*S50*S50*S50+(-0.02*SIN(N50+2*P50+2*Q50)-0.02*SIN(N50+2*P50)-9.52*SIN(N50+2*P50-2*Q50)-0.33*SIN(N50+2*P50-4*Q50)-3.37*SIN(N50-2*P50+2*Q50)+85.13*SIN(N50-2*P50)+0.71*SIN(N50-2*P50-2*Q50)+0.02*SIN(N50-2*P50-4*Q50))*R50*T50*T50+(0.1*SIN(O50+2*P50)-2.26*SIN(O50+2*P50-2*Q50)-1.3*SIN(O50-2*P50+2*Q50)-0.04*SIN(O50-2*P50-2*Q50))*S50*T50*T50+(3.6*SIN(4*N50)-1.58*SIN(4*N50-2*Q50))*R50*R50*R50*R50+(-0.94*SIN(3*N50+O50)-0.57*SIN(3*N50+O50-2*Q50)+0.96*SIN(3*N50-O50))*R50*R50*R50*S50+(-0.27*SIN(2*N50+2*O50-2*Q50)+0.21*SIN(2*N50-2*O50-2*Q50))*R50*R50*S50*S50-0.22*SIN(N50+3*O50-2*Q50)*R50*S50*S50*S50+(-0.75*SIN(2*N50+2*P50-2*Q50)-0.38*SIN(2*N50-2*P50+2*Q50)+0.74*SIN(2*N50-2*P50)+1.14*SIN(2*N50-2*P50-2*Q50))*R50*R50*T50*T50+(0.02*SIN(N50+O50+2*P50)+0.07*SIN(N50+O50-2*P50-2*Q50)+0.03*SIN(N50-O50+2*P50)-0.19*SIN(N50-O50-2*P50+2*Q50))*R50*S50*T50*T50-0.04*SIN(3*N50+2*P50)*R50*R50*R50*T50*T50</f>
        <v>-19520.806446622497</v>
      </c>
      <c r="AA50" s="17">
        <f t="shared" ref="AA50:AA70" si="34">W50+(-0.166*COS(3*N50+2*Q50)-1.3*COS(3*N50)+0.258*COS(3*N50-2*Q50)+0.042*COS(3*N50-4*Q50)-0.002*COS(3*N50-6*Q50))*R50*R50*R50+(0.116*COS(2*N50+O50+2*Q50)+0.259*COS(2*N50+O50)+0.078*COS(2*N50+O50-2*Q50)+0.022*COS(2*N50+O50-4*Q50)-0.212*COS(2*N50-O50+2*Q50)-0.151*COS(2*N50-O50)+0.001*COS(2*N50-O50-Q50)-0.003*COS(2*N50-O50-2*Q50)-0.012*COS(2*N50-O50-4*Q50))*R50*R50*S50+(0.008*COS(N50+2*O50)+0.117*COS(N50+2*O50-2*Q50)-0.032*COS(N50+2*O50-4*Q50)-0.105*COS(N50-2*O50+2*Q50)+0.027*COS(N50-2*O50)-0.014*COS(N50-2*O50-2*Q50))*R50*S50*S50-0.025*COS(3*O50-2*Q50)*S50*S50*S50+(-0.145*COS(4*N50)+0.052*COS(4*N50-2*Q50))*R50*R50*R50*R50+(0.032*COS(3*N50+O50)+0.005*COS(3*N50+O50-2*Q50)-0.026*COS(3*N50-O50))*R50*R50*R50*S50+(0.002*COS(2*N50+2*O50-2*Q50)-0.003*COS(2*N50-2*O50-2*Q50))*R50*R50*S50*S50+0.004*COS(N50+3*O50-2*Q50)*R50*S50*S50*S50</f>
        <v>-2.9669865115042362</v>
      </c>
      <c r="AB50" s="17">
        <f t="shared" ref="AB50:AB70" si="35">X50+(0.0243*COS(3*N50+2*Q50)+0.6215*COS(3*N50)-0.1187*COS(3*N50-2*Q50)+0.0074*COS(3*N50-4*Q50)+0.0046*COS(3*N50-6*Q50))*R50*R50*R50+(-0.0051*COS(2*N50+O50+2*Q50)-0.1038*COS(2*N50+O50)-0.0192*COS(2*N50+O50-2*Q50)+0.0324*COS(2*N50+O50-4*Q50)+0.0213*COS(2*N50-O50+2*Q50)+0.1268*COS(2*N50-O50)-0.0028*COS(2*N50-O50-Q50)-0.0017*COS(2*N50-O50-2*Q50)-0.0043*COS(2*N50-O50-4*Q50))*R50*R50*S50+(-0.0106*COS(N50+2*O50)+0.0484*COS(N50+2*O50-2*Q50)+0.0044*COS(N50+2*O50-4*Q50)+0.0112*COS(N50-2*O50+2*Q50)+0.0196*COS(N50-2*O50)-0.0212*COS(N50-2*O50-2*Q50))*R50*S50*S50+0.0036*COS(3*O50-2*Q50)*S50*S50*S50+(-0.001*COS(N50+2*P50)-0.0833*COS(N50+2*P50-2*Q50)+0.0014*COS(N50+2*P50-4*Q50)-0.0481*COS(N50-2*P50+2*Q50)-0.7136*COS(N50-2*P50)-0.0112*COS(N50-2*P50-2*Q50))*R50*T50*T50+(0.0013*COS(O50+2*P50)-0.0066*COS(O50+2*P50-2*Q50)+0.0014*COS(O50-2*P50+2*Q50))*S50*T50*T50+(0.0401*COS(4*N50)-0.013*COS(4*N50-2*Q50))*R50*R50*R50*R50+(-0.0097*COS(3*N50+O50)-0.0045*COS(3*N50+O50-2*Q50)+0.0115*COS(3*N50-O50))*R50*R50*R50*S50-0.0009*COS(2*N50+2*O50-2*Q50)*R50*R50*S50*S50+0.0014*COS(N50+3*O50-2*Q50)*R50*S50*S50*S50+(0.0004*COS(2*N50+2*P50)-0.009*COS(2*N50+2*P50-2*Q50)-0.0053*COS(2*N50-2*P50+2*Q50)+0.0004*COS(2*N50-2*P50)-0.0141*COS(2*N50-2*P50-2*Q50))*R50*R50*T50*T50+(-0.0006*COS(N50+O50-2*P50-2*Q50)+0.0003*COS(N50-O50+2*P50)-0.0027*COS(N50-O50-2*P50+2*Q50))*R50*S50*T50*T50</f>
        <v>-13.691763807467453</v>
      </c>
      <c r="AC50" s="17">
        <f t="shared" ref="AC50:AC70" si="36">(P50*180/PI()+Z50/3600)*PI()/180</f>
        <v>3.8252092146647594</v>
      </c>
      <c r="AD50" s="17">
        <f t="shared" si="4"/>
        <v>4.2586540578970027</v>
      </c>
      <c r="AE50" s="17">
        <f t="shared" si="5"/>
        <v>-5.8317972776068941E-2</v>
      </c>
      <c r="AF50" s="17">
        <f t="shared" ref="AF50:AF70" si="37">ASIN(0.999953253*(3422.7+AB50)*PI()/648000)</f>
        <v>1.6527318117790769E-2</v>
      </c>
      <c r="AG50" s="17">
        <f t="shared" ref="AG50:AG73" si="38">0.2725076*AF50</f>
        <v>4.5038197947156805E-3</v>
      </c>
      <c r="AH50" s="17">
        <f t="shared" ref="AH50:AH70" si="39">MOD(ATAN2(COS(AD50)*COS(AE50),COS(M50)*SIN(AD50)*COS(AE50)-SIN(M50)*SIN(AE50)),2*PI())</f>
        <v>4.2119057914457159</v>
      </c>
      <c r="AI50" s="17">
        <f t="shared" ref="AI50:AI70" si="40">ASIN(SIN(M50)*SIN(AD50)*COS(AE50)+COS(M50)*SIN(AE50))</f>
        <v>-0.42287760607952352</v>
      </c>
      <c r="AJ50" s="17">
        <f t="shared" ref="AJ50:AJ70" si="41">AD50*180/PI()</f>
        <v>244.00290392375999</v>
      </c>
      <c r="AK50" s="17">
        <f t="shared" ref="AK50:AK70" si="42">AE50*180/PI()</f>
        <v>-3.3413737098275833</v>
      </c>
      <c r="AL50" s="17">
        <f t="shared" ref="AL50:AL70" si="43">INT(AH50*432000/PI()+0.6)/36000</f>
        <v>16.088305555555557</v>
      </c>
      <c r="AM50" s="17">
        <f t="shared" ref="AM50:AM70" si="44">INT(AI50*648000/PI()-0.5)/3600</f>
        <v>-24.229444444444443</v>
      </c>
      <c r="AN50" s="17">
        <f t="shared" ref="AN50:AN70" si="45">INT(AF50*648000/PI()+0.5)/3600</f>
        <v>0.94694444444444448</v>
      </c>
      <c r="AO50" s="17">
        <f t="shared" si="12"/>
        <v>16.513999999999999</v>
      </c>
      <c r="AP50" s="17">
        <f t="shared" si="7"/>
        <v>-0.42569444444444215</v>
      </c>
      <c r="AQ50" s="18">
        <f t="shared" si="8"/>
        <v>0</v>
      </c>
      <c r="AR50" s="18">
        <f t="shared" si="9"/>
        <v>1</v>
      </c>
      <c r="AS50" s="4">
        <f t="shared" si="10"/>
        <v>0</v>
      </c>
      <c r="AT50" s="4"/>
      <c r="AU50" s="4"/>
      <c r="AV50" s="4"/>
      <c r="AW50" s="4"/>
      <c r="AX50" s="4"/>
      <c r="AY50" s="4"/>
      <c r="AZ50" s="4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</row>
    <row r="51" spans="1:109" ht="17.25" hidden="1">
      <c r="A51" s="2">
        <f t="shared" si="11"/>
        <v>4</v>
      </c>
      <c r="B51" s="19">
        <f t="shared" si="13"/>
        <v>0.2379374857403605</v>
      </c>
      <c r="C51" s="8">
        <f t="shared" si="14"/>
        <v>4.8600818982222096</v>
      </c>
      <c r="D51" s="8">
        <f t="shared" si="15"/>
        <v>4.9401756002668327</v>
      </c>
      <c r="E51" s="8">
        <f t="shared" si="16"/>
        <v>3.9295074407546591</v>
      </c>
      <c r="F51" s="8">
        <f t="shared" si="17"/>
        <v>0.76073485162046883</v>
      </c>
      <c r="G51" s="8">
        <f t="shared" si="18"/>
        <v>0.43356589797841666</v>
      </c>
      <c r="H51" s="7">
        <f t="shared" si="0"/>
        <v>-84916.678110019377</v>
      </c>
      <c r="I51" s="8">
        <f t="shared" si="1"/>
        <v>-4.1177015736394808E-5</v>
      </c>
      <c r="J51" s="7">
        <f t="shared" si="2"/>
        <v>85900.978642726812</v>
      </c>
      <c r="K51" s="8">
        <f t="shared" si="3"/>
        <v>4.1644862708488384E-5</v>
      </c>
      <c r="L51" s="8">
        <f t="shared" si="19"/>
        <v>0.40903880727928238</v>
      </c>
      <c r="M51" s="8">
        <f t="shared" si="20"/>
        <v>0.40908045214199085</v>
      </c>
      <c r="N51" s="17">
        <f t="shared" si="21"/>
        <v>4.8601485345364992</v>
      </c>
      <c r="O51" s="17">
        <f t="shared" si="22"/>
        <v>4.9400940891322023</v>
      </c>
      <c r="P51" s="17">
        <f t="shared" si="23"/>
        <v>3.9294694263660617</v>
      </c>
      <c r="Q51" s="17">
        <f t="shared" si="24"/>
        <v>0.76083096870373623</v>
      </c>
      <c r="R51" s="17">
        <f t="shared" si="25"/>
        <v>1.0000022079999999</v>
      </c>
      <c r="S51" s="17">
        <f t="shared" si="26"/>
        <v>0.99691086565333331</v>
      </c>
      <c r="T51" s="17">
        <f t="shared" si="27"/>
        <v>0.99953898999700463</v>
      </c>
      <c r="U51" s="17">
        <f t="shared" si="28"/>
        <v>-19596.314256485457</v>
      </c>
      <c r="V51" s="17">
        <f t="shared" si="29"/>
        <v>-19558.391321064239</v>
      </c>
      <c r="W51" s="17">
        <f t="shared" si="30"/>
        <v>-3.5831102232698475</v>
      </c>
      <c r="X51" s="17">
        <f t="shared" si="31"/>
        <v>-12.842373994180752</v>
      </c>
      <c r="Y51" s="17">
        <f t="shared" si="32"/>
        <v>-19579.503951901668</v>
      </c>
      <c r="Z51" s="17">
        <f t="shared" si="33"/>
        <v>-19535.238782896093</v>
      </c>
      <c r="AA51" s="17">
        <f t="shared" si="34"/>
        <v>-2.8820970197909657</v>
      </c>
      <c r="AB51" s="17">
        <f t="shared" si="35"/>
        <v>-12.432964439352515</v>
      </c>
      <c r="AC51" s="17">
        <f t="shared" si="36"/>
        <v>3.8347599161091654</v>
      </c>
      <c r="AD51" s="17">
        <f t="shared" si="4"/>
        <v>4.2681575001462013</v>
      </c>
      <c r="AE51" s="17">
        <f t="shared" si="5"/>
        <v>-5.8995140303093704E-2</v>
      </c>
      <c r="AF51" s="17">
        <f t="shared" si="37"/>
        <v>1.6533421497920919E-2</v>
      </c>
      <c r="AG51" s="17">
        <f t="shared" si="38"/>
        <v>4.5054830121868351E-3</v>
      </c>
      <c r="AH51" s="17">
        <f t="shared" si="39"/>
        <v>4.2219858868214049</v>
      </c>
      <c r="AI51" s="17">
        <f t="shared" si="40"/>
        <v>-0.4253396624744703</v>
      </c>
      <c r="AJ51" s="17">
        <f t="shared" si="41"/>
        <v>244.54741105548541</v>
      </c>
      <c r="AK51" s="17">
        <f t="shared" si="42"/>
        <v>-3.3801725511494136</v>
      </c>
      <c r="AL51" s="17">
        <f t="shared" si="43"/>
        <v>16.126805555555556</v>
      </c>
      <c r="AM51" s="17">
        <f t="shared" si="44"/>
        <v>-24.370555555555555</v>
      </c>
      <c r="AN51" s="17">
        <f t="shared" si="45"/>
        <v>0.94722222222222219</v>
      </c>
      <c r="AO51" s="17">
        <f t="shared" si="12"/>
        <v>16.513999999999999</v>
      </c>
      <c r="AP51" s="17">
        <f t="shared" si="7"/>
        <v>-0.38719444444444306</v>
      </c>
      <c r="AQ51" s="18">
        <f t="shared" si="8"/>
        <v>0</v>
      </c>
      <c r="AR51" s="18">
        <f t="shared" si="9"/>
        <v>1</v>
      </c>
      <c r="AS51" s="4">
        <f t="shared" si="10"/>
        <v>0</v>
      </c>
      <c r="AT51" s="4"/>
      <c r="AU51" s="4"/>
      <c r="AV51" s="4"/>
      <c r="AW51" s="4"/>
      <c r="AX51" s="4"/>
      <c r="AY51" s="4"/>
      <c r="AZ51" s="4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</row>
    <row r="52" spans="1:109" ht="17.25" hidden="1">
      <c r="A52" s="2">
        <f t="shared" si="11"/>
        <v>5</v>
      </c>
      <c r="B52" s="19">
        <f t="shared" si="13"/>
        <v>0.23793862651152181</v>
      </c>
      <c r="C52" s="8">
        <f t="shared" si="14"/>
        <v>4.8695830292911539</v>
      </c>
      <c r="D52" s="8">
        <f t="shared" si="15"/>
        <v>4.9408923490156607</v>
      </c>
      <c r="E52" s="8">
        <f t="shared" si="16"/>
        <v>3.9391280956644734</v>
      </c>
      <c r="F52" s="8">
        <f t="shared" si="17"/>
        <v>0.76960021451441818</v>
      </c>
      <c r="G52" s="8">
        <f t="shared" si="18"/>
        <v>0.43352738895517678</v>
      </c>
      <c r="H52" s="7">
        <f t="shared" si="0"/>
        <v>-84894.432407654094</v>
      </c>
      <c r="I52" s="8">
        <f t="shared" si="1"/>
        <v>-4.1165982923704373E-5</v>
      </c>
      <c r="J52" s="7">
        <f t="shared" si="2"/>
        <v>85878.165478679686</v>
      </c>
      <c r="K52" s="8">
        <f t="shared" si="3"/>
        <v>4.1633696035654859E-5</v>
      </c>
      <c r="L52" s="8">
        <f t="shared" si="19"/>
        <v>0.40903880702039958</v>
      </c>
      <c r="M52" s="8">
        <f t="shared" si="20"/>
        <v>0.40908044071643523</v>
      </c>
      <c r="N52" s="17">
        <f t="shared" si="21"/>
        <v>4.8696496637827451</v>
      </c>
      <c r="O52" s="17">
        <f t="shared" si="22"/>
        <v>4.9408108378490283</v>
      </c>
      <c r="P52" s="17">
        <f t="shared" si="23"/>
        <v>3.9390900977509986</v>
      </c>
      <c r="Q52" s="17">
        <f t="shared" si="24"/>
        <v>0.76969633022334705</v>
      </c>
      <c r="R52" s="17">
        <f t="shared" si="25"/>
        <v>1.0000022079999999</v>
      </c>
      <c r="S52" s="17">
        <f t="shared" si="26"/>
        <v>0.99691086280666663</v>
      </c>
      <c r="T52" s="17">
        <f t="shared" si="27"/>
        <v>0.99953898529451568</v>
      </c>
      <c r="U52" s="17">
        <f t="shared" si="28"/>
        <v>-19609.75340079443</v>
      </c>
      <c r="V52" s="17">
        <f t="shared" si="29"/>
        <v>-19571.776707652647</v>
      </c>
      <c r="W52" s="17">
        <f t="shared" si="30"/>
        <v>-3.5259626667475006</v>
      </c>
      <c r="X52" s="17">
        <f t="shared" si="31"/>
        <v>-11.568995810497478</v>
      </c>
      <c r="Y52" s="17">
        <f t="shared" si="32"/>
        <v>-19594.300749819849</v>
      </c>
      <c r="Z52" s="17">
        <f t="shared" si="33"/>
        <v>-19548.407842531342</v>
      </c>
      <c r="AA52" s="17">
        <f t="shared" si="34"/>
        <v>-2.7969695258698666</v>
      </c>
      <c r="AB52" s="17">
        <f t="shared" si="35"/>
        <v>-11.172706502075588</v>
      </c>
      <c r="AC52" s="17">
        <f t="shared" si="36"/>
        <v>3.8443167420913174</v>
      </c>
      <c r="AD52" s="17">
        <f t="shared" si="4"/>
        <v>4.2776679528766888</v>
      </c>
      <c r="AE52" s="17">
        <f t="shared" si="5"/>
        <v>-5.9667432479183213E-2</v>
      </c>
      <c r="AF52" s="17">
        <f t="shared" si="37"/>
        <v>1.6539531950646558E-2</v>
      </c>
      <c r="AG52" s="17">
        <f t="shared" si="38"/>
        <v>4.5071481569940123E-3</v>
      </c>
      <c r="AH52" s="17">
        <f t="shared" si="39"/>
        <v>4.2320949701075694</v>
      </c>
      <c r="AI52" s="17">
        <f t="shared" si="40"/>
        <v>-0.42776502587078741</v>
      </c>
      <c r="AJ52" s="17">
        <f t="shared" si="41"/>
        <v>245.09231985820099</v>
      </c>
      <c r="AK52" s="17">
        <f t="shared" si="42"/>
        <v>-3.4186920554390081</v>
      </c>
      <c r="AL52" s="17">
        <f t="shared" si="43"/>
        <v>16.165416666666665</v>
      </c>
      <c r="AM52" s="17">
        <f t="shared" si="44"/>
        <v>-24.509444444444444</v>
      </c>
      <c r="AN52" s="17">
        <f t="shared" si="45"/>
        <v>0.94777777777777783</v>
      </c>
      <c r="AO52" s="17">
        <f t="shared" si="12"/>
        <v>16.513999999999999</v>
      </c>
      <c r="AP52" s="17">
        <f t="shared" si="7"/>
        <v>-0.34858333333333391</v>
      </c>
      <c r="AQ52" s="18">
        <f t="shared" si="8"/>
        <v>0</v>
      </c>
      <c r="AR52" s="18">
        <f t="shared" si="9"/>
        <v>1</v>
      </c>
      <c r="AS52" s="4">
        <f t="shared" si="10"/>
        <v>0</v>
      </c>
      <c r="AT52" s="4"/>
      <c r="AU52" s="4"/>
      <c r="AV52" s="4"/>
      <c r="AW52" s="4"/>
      <c r="AX52" s="4"/>
      <c r="AY52" s="4"/>
      <c r="AZ52" s="4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</row>
    <row r="53" spans="1:109" ht="17.25" hidden="1">
      <c r="A53" s="2">
        <f t="shared" si="11"/>
        <v>6</v>
      </c>
      <c r="B53" s="19">
        <f t="shared" si="13"/>
        <v>0.23793976728268312</v>
      </c>
      <c r="C53" s="8">
        <f t="shared" si="14"/>
        <v>4.8790841603606063</v>
      </c>
      <c r="D53" s="8">
        <f t="shared" si="15"/>
        <v>4.9416090977644558</v>
      </c>
      <c r="E53" s="8">
        <f t="shared" si="16"/>
        <v>3.9487487505745418</v>
      </c>
      <c r="F53" s="8">
        <f t="shared" si="17"/>
        <v>0.77846557740811351</v>
      </c>
      <c r="G53" s="8">
        <f t="shared" si="18"/>
        <v>0.4334888799319368</v>
      </c>
      <c r="H53" s="7">
        <f t="shared" si="0"/>
        <v>-84871.319815732932</v>
      </c>
      <c r="I53" s="8">
        <f t="shared" si="1"/>
        <v>-4.1154527984013551E-5</v>
      </c>
      <c r="J53" s="7">
        <f t="shared" si="2"/>
        <v>85855.567837452836</v>
      </c>
      <c r="K53" s="8">
        <f t="shared" si="3"/>
        <v>4.1622636632375041E-5</v>
      </c>
      <c r="L53" s="8">
        <f t="shared" si="19"/>
        <v>0.40903880676151688</v>
      </c>
      <c r="M53" s="8">
        <f t="shared" si="20"/>
        <v>0.40908042939814926</v>
      </c>
      <c r="N53" s="17">
        <f t="shared" si="21"/>
        <v>4.879150793028991</v>
      </c>
      <c r="O53" s="17">
        <f t="shared" si="22"/>
        <v>4.9415275865658828</v>
      </c>
      <c r="P53" s="17">
        <f t="shared" si="23"/>
        <v>3.9487107691363903</v>
      </c>
      <c r="Q53" s="17">
        <f t="shared" si="24"/>
        <v>0.77856169174273049</v>
      </c>
      <c r="R53" s="17">
        <f t="shared" si="25"/>
        <v>1.0000022079999999</v>
      </c>
      <c r="S53" s="17">
        <f t="shared" si="26"/>
        <v>0.99691085995999995</v>
      </c>
      <c r="T53" s="17">
        <f t="shared" si="27"/>
        <v>0.99953898059271451</v>
      </c>
      <c r="U53" s="17">
        <f t="shared" si="28"/>
        <v>-19621.718519451424</v>
      </c>
      <c r="V53" s="17">
        <f t="shared" si="29"/>
        <v>-19583.865215933503</v>
      </c>
      <c r="W53" s="17">
        <f t="shared" si="30"/>
        <v>-3.4683613109599682</v>
      </c>
      <c r="X53" s="17">
        <f t="shared" si="31"/>
        <v>-10.294309533531969</v>
      </c>
      <c r="Y53" s="17">
        <f t="shared" si="32"/>
        <v>-19607.649106191064</v>
      </c>
      <c r="Z53" s="17">
        <f t="shared" si="33"/>
        <v>-19560.31202225629</v>
      </c>
      <c r="AA53" s="17">
        <f t="shared" si="34"/>
        <v>-2.711686702315669</v>
      </c>
      <c r="AB53" s="17">
        <f t="shared" si="35"/>
        <v>-9.9110033533403037</v>
      </c>
      <c r="AC53" s="17">
        <f t="shared" si="36"/>
        <v>3.8538797003847787</v>
      </c>
      <c r="AD53" s="17">
        <f t="shared" si="4"/>
        <v>4.2871854280916413</v>
      </c>
      <c r="AE53" s="17">
        <f t="shared" si="5"/>
        <v>-6.0334777971763398E-2</v>
      </c>
      <c r="AF53" s="17">
        <f t="shared" si="37"/>
        <v>1.6545649411204264E-2</v>
      </c>
      <c r="AG53" s="17">
        <f t="shared" si="38"/>
        <v>4.508815211488687E-3</v>
      </c>
      <c r="AH53" s="17">
        <f t="shared" si="39"/>
        <v>4.2422329325937946</v>
      </c>
      <c r="AI53" s="17">
        <f t="shared" si="40"/>
        <v>-0.43015328952584836</v>
      </c>
      <c r="AJ53" s="17">
        <f t="shared" si="41"/>
        <v>245.63763101963815</v>
      </c>
      <c r="AK53" s="17">
        <f t="shared" si="42"/>
        <v>-3.4569281356409318</v>
      </c>
      <c r="AL53" s="17">
        <f t="shared" si="43"/>
        <v>16.204138888888888</v>
      </c>
      <c r="AM53" s="17">
        <f t="shared" si="44"/>
        <v>-24.646111111111111</v>
      </c>
      <c r="AN53" s="17">
        <f t="shared" si="45"/>
        <v>0.94805555555555554</v>
      </c>
      <c r="AO53" s="17">
        <f t="shared" si="12"/>
        <v>16.513999999999999</v>
      </c>
      <c r="AP53" s="17">
        <f t="shared" si="7"/>
        <v>-0.30986111111111114</v>
      </c>
      <c r="AQ53" s="18">
        <f t="shared" si="8"/>
        <v>0</v>
      </c>
      <c r="AR53" s="18">
        <f t="shared" si="9"/>
        <v>1</v>
      </c>
      <c r="AS53" s="4">
        <f t="shared" si="10"/>
        <v>0</v>
      </c>
      <c r="AT53" s="4"/>
      <c r="AU53" s="4"/>
      <c r="AV53" s="4"/>
      <c r="AW53" s="4"/>
      <c r="AX53" s="4"/>
      <c r="AY53" s="4"/>
      <c r="AZ53" s="4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</row>
    <row r="54" spans="1:109" ht="17.25" hidden="1">
      <c r="A54" s="2">
        <f t="shared" si="11"/>
        <v>7</v>
      </c>
      <c r="B54" s="19">
        <f t="shared" si="13"/>
        <v>0.23794090805384444</v>
      </c>
      <c r="C54" s="8">
        <f t="shared" si="14"/>
        <v>4.8885852914298038</v>
      </c>
      <c r="D54" s="8">
        <f t="shared" si="15"/>
        <v>4.9423258465132518</v>
      </c>
      <c r="E54" s="8">
        <f t="shared" si="16"/>
        <v>3.9583694054848633</v>
      </c>
      <c r="F54" s="8">
        <f t="shared" si="17"/>
        <v>0.78733094030231676</v>
      </c>
      <c r="G54" s="8">
        <f t="shared" si="18"/>
        <v>0.43345037090869598</v>
      </c>
      <c r="H54" s="7">
        <f t="shared" si="0"/>
        <v>-84847.34822191592</v>
      </c>
      <c r="I54" s="8">
        <f t="shared" si="1"/>
        <v>-4.114265506667478E-5</v>
      </c>
      <c r="J54" s="7">
        <f t="shared" si="2"/>
        <v>85833.192927608427</v>
      </c>
      <c r="K54" s="8">
        <f t="shared" si="3"/>
        <v>4.16116880445201E-5</v>
      </c>
      <c r="L54" s="8">
        <f t="shared" si="19"/>
        <v>0.40903880650263413</v>
      </c>
      <c r="M54" s="8">
        <f t="shared" si="20"/>
        <v>0.40908041819067864</v>
      </c>
      <c r="N54" s="17">
        <f t="shared" si="21"/>
        <v>4.8886519222745548</v>
      </c>
      <c r="O54" s="17">
        <f t="shared" si="22"/>
        <v>4.9422443352827372</v>
      </c>
      <c r="P54" s="17">
        <f t="shared" si="23"/>
        <v>3.9583314405220094</v>
      </c>
      <c r="Q54" s="17">
        <f t="shared" si="24"/>
        <v>0.78742705326302342</v>
      </c>
      <c r="R54" s="17">
        <f t="shared" si="25"/>
        <v>1.0000022079999999</v>
      </c>
      <c r="S54" s="17">
        <f t="shared" si="26"/>
        <v>0.99691085711333338</v>
      </c>
      <c r="T54" s="17">
        <f t="shared" si="27"/>
        <v>0.99953897589160123</v>
      </c>
      <c r="U54" s="17">
        <f t="shared" si="28"/>
        <v>-19632.208557866281</v>
      </c>
      <c r="V54" s="17">
        <f t="shared" si="29"/>
        <v>-19594.655562345557</v>
      </c>
      <c r="W54" s="17">
        <f t="shared" si="30"/>
        <v>-3.410363487802123</v>
      </c>
      <c r="X54" s="17">
        <f t="shared" si="31"/>
        <v>-9.0183406475786825</v>
      </c>
      <c r="Y54" s="17">
        <f t="shared" si="32"/>
        <v>-19619.546562554864</v>
      </c>
      <c r="Z54" s="17">
        <f t="shared" si="33"/>
        <v>-19570.949652035633</v>
      </c>
      <c r="AA54" s="17">
        <f t="shared" si="34"/>
        <v>-2.6263314247292602</v>
      </c>
      <c r="AB54" s="17">
        <f t="shared" si="35"/>
        <v>-8.6478683585532181</v>
      </c>
      <c r="AC54" s="17">
        <f t="shared" si="36"/>
        <v>3.8634487990858815</v>
      </c>
      <c r="AD54" s="17">
        <f t="shared" si="4"/>
        <v>4.2967099377035831</v>
      </c>
      <c r="AE54" s="17">
        <f t="shared" si="5"/>
        <v>-6.0997105666938473E-2</v>
      </c>
      <c r="AF54" s="17">
        <f t="shared" si="37"/>
        <v>1.6551773814793214E-2</v>
      </c>
      <c r="AG54" s="17">
        <f t="shared" si="38"/>
        <v>4.5104841580121437E-3</v>
      </c>
      <c r="AH54" s="17">
        <f t="shared" si="39"/>
        <v>4.2523996543040923</v>
      </c>
      <c r="AI54" s="17">
        <f t="shared" si="40"/>
        <v>-0.43250404823001359</v>
      </c>
      <c r="AJ54" s="17">
        <f t="shared" si="41"/>
        <v>246.18334522233417</v>
      </c>
      <c r="AK54" s="17">
        <f t="shared" si="42"/>
        <v>-3.4948767172290913</v>
      </c>
      <c r="AL54" s="17">
        <f t="shared" si="43"/>
        <v>16.242972222222221</v>
      </c>
      <c r="AM54" s="17">
        <f t="shared" si="44"/>
        <v>-24.780833333333334</v>
      </c>
      <c r="AN54" s="17">
        <f t="shared" si="45"/>
        <v>0.94833333333333336</v>
      </c>
      <c r="AO54" s="17">
        <f t="shared" si="12"/>
        <v>16.513999999999999</v>
      </c>
      <c r="AP54" s="17">
        <f t="shared" si="7"/>
        <v>-0.27102777777777831</v>
      </c>
      <c r="AQ54" s="18">
        <f t="shared" si="8"/>
        <v>0</v>
      </c>
      <c r="AR54" s="18">
        <f t="shared" si="9"/>
        <v>1</v>
      </c>
      <c r="AS54" s="4">
        <f t="shared" si="10"/>
        <v>0</v>
      </c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</row>
    <row r="55" spans="1:109" ht="17.25" hidden="1">
      <c r="A55" s="2">
        <f t="shared" si="11"/>
        <v>8</v>
      </c>
      <c r="B55" s="19">
        <f t="shared" si="13"/>
        <v>0.23794204882500575</v>
      </c>
      <c r="C55" s="8">
        <f t="shared" si="14"/>
        <v>4.8980864224990022</v>
      </c>
      <c r="D55" s="8">
        <f t="shared" si="15"/>
        <v>4.9430425952620798</v>
      </c>
      <c r="E55" s="8">
        <f t="shared" si="16"/>
        <v>3.9679900603946772</v>
      </c>
      <c r="F55" s="8">
        <f t="shared" si="17"/>
        <v>0.796196303196266</v>
      </c>
      <c r="G55" s="8">
        <f t="shared" si="18"/>
        <v>0.43341186188545505</v>
      </c>
      <c r="H55" s="7">
        <f t="shared" si="0"/>
        <v>-84822.525839518887</v>
      </c>
      <c r="I55" s="8">
        <f t="shared" si="1"/>
        <v>-4.1130368481088552E-5</v>
      </c>
      <c r="J55" s="7">
        <f t="shared" si="2"/>
        <v>85811.047915006231</v>
      </c>
      <c r="K55" s="8">
        <f t="shared" si="3"/>
        <v>4.1600853791107483E-5</v>
      </c>
      <c r="L55" s="8">
        <f t="shared" si="19"/>
        <v>0.40903880624375144</v>
      </c>
      <c r="M55" s="8">
        <f t="shared" si="20"/>
        <v>0.40908040709754256</v>
      </c>
      <c r="N55" s="17">
        <f t="shared" si="21"/>
        <v>4.8981530515208007</v>
      </c>
      <c r="O55" s="17">
        <f t="shared" si="22"/>
        <v>4.9429610839995917</v>
      </c>
      <c r="P55" s="17">
        <f t="shared" si="23"/>
        <v>3.9679521119080832</v>
      </c>
      <c r="Q55" s="17">
        <f t="shared" si="24"/>
        <v>0.79629241478240687</v>
      </c>
      <c r="R55" s="17">
        <f t="shared" si="25"/>
        <v>1.0000022079999999</v>
      </c>
      <c r="S55" s="17">
        <f t="shared" si="26"/>
        <v>0.9969108542666667</v>
      </c>
      <c r="T55" s="17">
        <f t="shared" si="27"/>
        <v>0.99953897119117574</v>
      </c>
      <c r="U55" s="17">
        <f t="shared" si="28"/>
        <v>-19641.222503782996</v>
      </c>
      <c r="V55" s="17">
        <f t="shared" si="29"/>
        <v>-19604.1464238466</v>
      </c>
      <c r="W55" s="17">
        <f t="shared" si="30"/>
        <v>-3.3520269761427062</v>
      </c>
      <c r="X55" s="17">
        <f t="shared" si="31"/>
        <v>-7.7411144874911653</v>
      </c>
      <c r="Y55" s="17">
        <f t="shared" si="32"/>
        <v>-19629.99067959121</v>
      </c>
      <c r="Z55" s="17">
        <f t="shared" si="33"/>
        <v>-19580.318994731275</v>
      </c>
      <c r="AA55" s="17">
        <f t="shared" si="34"/>
        <v>-2.5409866637167142</v>
      </c>
      <c r="AB55" s="17">
        <f t="shared" si="35"/>
        <v>-7.3833149203879742</v>
      </c>
      <c r="AC55" s="17">
        <f t="shared" si="36"/>
        <v>3.8730240466167363</v>
      </c>
      <c r="AD55" s="17">
        <f t="shared" si="4"/>
        <v>4.3062414935311919</v>
      </c>
      <c r="AE55" s="17">
        <f t="shared" si="5"/>
        <v>-6.1654344677216165E-2</v>
      </c>
      <c r="AF55" s="17">
        <f t="shared" si="37"/>
        <v>1.6557905096431885E-2</v>
      </c>
      <c r="AG55" s="17">
        <f t="shared" si="38"/>
        <v>4.5121549788564221E-3</v>
      </c>
      <c r="AH55" s="17">
        <f t="shared" si="39"/>
        <v>4.2625950038833196</v>
      </c>
      <c r="AI55" s="17">
        <f t="shared" si="40"/>
        <v>-0.43481689845084015</v>
      </c>
      <c r="AJ55" s="17">
        <f t="shared" si="41"/>
        <v>246.72946314344949</v>
      </c>
      <c r="AK55" s="17">
        <f t="shared" si="42"/>
        <v>-3.532533738649358</v>
      </c>
      <c r="AL55" s="17">
        <f t="shared" si="43"/>
        <v>16.281916666666667</v>
      </c>
      <c r="AM55" s="17">
        <f t="shared" si="44"/>
        <v>-24.913333333333334</v>
      </c>
      <c r="AN55" s="17">
        <f t="shared" si="45"/>
        <v>0.94861111111111107</v>
      </c>
      <c r="AO55" s="17">
        <f t="shared" si="12"/>
        <v>16.513999999999999</v>
      </c>
      <c r="AP55" s="17">
        <f t="shared" si="7"/>
        <v>-0.23208333333333186</v>
      </c>
      <c r="AQ55" s="18">
        <f t="shared" si="8"/>
        <v>0</v>
      </c>
      <c r="AR55" s="18">
        <f t="shared" si="9"/>
        <v>1</v>
      </c>
      <c r="AS55" s="4">
        <f t="shared" si="10"/>
        <v>0</v>
      </c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</row>
    <row r="56" spans="1:109" ht="17.25" hidden="1">
      <c r="A56" s="2">
        <f t="shared" si="11"/>
        <v>9</v>
      </c>
      <c r="B56" s="19">
        <f t="shared" si="13"/>
        <v>0.23794318959616706</v>
      </c>
      <c r="C56" s="8">
        <f t="shared" si="14"/>
        <v>4.9075875535679456</v>
      </c>
      <c r="D56" s="8">
        <f t="shared" si="15"/>
        <v>4.9437593440108749</v>
      </c>
      <c r="E56" s="8">
        <f t="shared" si="16"/>
        <v>3.9776107153047455</v>
      </c>
      <c r="F56" s="8">
        <f t="shared" si="17"/>
        <v>0.80506166609021523</v>
      </c>
      <c r="G56" s="8">
        <f t="shared" si="18"/>
        <v>0.43337335286221512</v>
      </c>
      <c r="H56" s="7">
        <f t="shared" si="0"/>
        <v>-84796.861207349561</v>
      </c>
      <c r="I56" s="8">
        <f t="shared" si="1"/>
        <v>-4.1117672696095604E-5</v>
      </c>
      <c r="J56" s="7">
        <f t="shared" si="2"/>
        <v>85789.139919841924</v>
      </c>
      <c r="K56" s="8">
        <f t="shared" si="3"/>
        <v>4.1590137362795488E-5</v>
      </c>
      <c r="L56" s="8">
        <f t="shared" si="19"/>
        <v>0.40903880598486864</v>
      </c>
      <c r="M56" s="8">
        <f t="shared" si="20"/>
        <v>0.4090803961222314</v>
      </c>
      <c r="N56" s="17">
        <f t="shared" si="21"/>
        <v>4.9076541807668193</v>
      </c>
      <c r="O56" s="17">
        <f t="shared" si="22"/>
        <v>4.9436778327164177</v>
      </c>
      <c r="P56" s="17">
        <f t="shared" si="23"/>
        <v>3.9775727832934749</v>
      </c>
      <c r="Q56" s="17">
        <f t="shared" si="24"/>
        <v>0.80515777630201768</v>
      </c>
      <c r="R56" s="17">
        <f t="shared" si="25"/>
        <v>1.0000022079999999</v>
      </c>
      <c r="S56" s="17">
        <f t="shared" si="26"/>
        <v>0.99691085142000002</v>
      </c>
      <c r="T56" s="17">
        <f t="shared" si="27"/>
        <v>0.99953896649143803</v>
      </c>
      <c r="U56" s="17">
        <f t="shared" si="28"/>
        <v>-19648.759386431764</v>
      </c>
      <c r="V56" s="17">
        <f t="shared" si="29"/>
        <v>-19612.336437288901</v>
      </c>
      <c r="W56" s="17">
        <f t="shared" si="30"/>
        <v>-3.2934099096581639</v>
      </c>
      <c r="X56" s="17">
        <f t="shared" si="31"/>
        <v>-6.4626562608401352</v>
      </c>
      <c r="Y56" s="17">
        <f t="shared" si="32"/>
        <v>-19638.979037531859</v>
      </c>
      <c r="Z56" s="17">
        <f t="shared" si="33"/>
        <v>-19588.418246000267</v>
      </c>
      <c r="AA56" s="17">
        <f t="shared" si="34"/>
        <v>-2.4557353761861429</v>
      </c>
      <c r="AB56" s="17">
        <f t="shared" si="35"/>
        <v>-6.1173565105808549</v>
      </c>
      <c r="AC56" s="17">
        <f t="shared" si="36"/>
        <v>3.8826054517239093</v>
      </c>
      <c r="AD56" s="17">
        <f t="shared" si="4"/>
        <v>4.3157801072986697</v>
      </c>
      <c r="AE56" s="17">
        <f t="shared" si="5"/>
        <v>-6.2306424349022484E-2</v>
      </c>
      <c r="AF56" s="17">
        <f t="shared" si="37"/>
        <v>1.656404319080387E-2</v>
      </c>
      <c r="AG56" s="17">
        <f t="shared" si="38"/>
        <v>4.5138276562223046E-3</v>
      </c>
      <c r="AH56" s="17">
        <f t="shared" si="39"/>
        <v>4.2728188384934711</v>
      </c>
      <c r="AI56" s="17">
        <f t="shared" si="40"/>
        <v>-0.43709143848007842</v>
      </c>
      <c r="AJ56" s="17">
        <f t="shared" si="41"/>
        <v>247.27598545473134</v>
      </c>
      <c r="AK56" s="17">
        <f t="shared" si="42"/>
        <v>-3.5698951517501358</v>
      </c>
      <c r="AL56" s="17">
        <f t="shared" si="43"/>
        <v>16.320972222222224</v>
      </c>
      <c r="AM56" s="17">
        <f t="shared" si="44"/>
        <v>-25.04388888888889</v>
      </c>
      <c r="AN56" s="17">
        <f t="shared" si="45"/>
        <v>0.94916666666666671</v>
      </c>
      <c r="AO56" s="17">
        <f t="shared" si="12"/>
        <v>16.513999999999999</v>
      </c>
      <c r="AP56" s="17">
        <f t="shared" si="7"/>
        <v>-0.19302777777777536</v>
      </c>
      <c r="AQ56" s="18">
        <f t="shared" si="8"/>
        <v>0</v>
      </c>
      <c r="AR56" s="18">
        <f t="shared" si="9"/>
        <v>1</v>
      </c>
      <c r="AS56" s="4">
        <f t="shared" si="10"/>
        <v>0</v>
      </c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</row>
    <row r="57" spans="1:109" ht="17.25" hidden="1">
      <c r="A57" s="2">
        <f t="shared" si="11"/>
        <v>10</v>
      </c>
      <c r="B57" s="19">
        <f t="shared" si="13"/>
        <v>0.23794433036732837</v>
      </c>
      <c r="C57" s="8">
        <f t="shared" si="14"/>
        <v>4.917088684637144</v>
      </c>
      <c r="D57" s="8">
        <f t="shared" si="15"/>
        <v>4.94447609275967</v>
      </c>
      <c r="E57" s="8">
        <f t="shared" si="16"/>
        <v>3.987231370214813</v>
      </c>
      <c r="F57" s="8">
        <f t="shared" si="17"/>
        <v>0.81392702898416458</v>
      </c>
      <c r="G57" s="8">
        <f t="shared" si="18"/>
        <v>0.43333484383897419</v>
      </c>
      <c r="H57" s="7">
        <f t="shared" si="0"/>
        <v>-84770.363189418887</v>
      </c>
      <c r="I57" s="8">
        <f t="shared" si="1"/>
        <v>-4.1104572339301859E-5</v>
      </c>
      <c r="J57" s="7">
        <f t="shared" si="2"/>
        <v>85767.476013681444</v>
      </c>
      <c r="K57" s="8">
        <f t="shared" si="3"/>
        <v>4.157954222038965E-5</v>
      </c>
      <c r="L57" s="8">
        <f t="shared" si="19"/>
        <v>0.40903880572598594</v>
      </c>
      <c r="M57" s="8">
        <f t="shared" si="20"/>
        <v>0.40908038526820634</v>
      </c>
      <c r="N57" s="17">
        <f t="shared" si="21"/>
        <v>4.917155310012383</v>
      </c>
      <c r="O57" s="17">
        <f t="shared" si="22"/>
        <v>4.9443945814332722</v>
      </c>
      <c r="P57" s="17">
        <f t="shared" si="23"/>
        <v>3.9871934546795487</v>
      </c>
      <c r="Q57" s="17">
        <f t="shared" si="24"/>
        <v>0.81402313782117375</v>
      </c>
      <c r="R57" s="17">
        <f t="shared" si="25"/>
        <v>1.0000022079999999</v>
      </c>
      <c r="S57" s="17">
        <f t="shared" si="26"/>
        <v>0.99691084857333334</v>
      </c>
      <c r="T57" s="17">
        <f t="shared" si="27"/>
        <v>0.99953896179238821</v>
      </c>
      <c r="U57" s="17">
        <f t="shared" si="28"/>
        <v>-19654.818275543974</v>
      </c>
      <c r="V57" s="17">
        <f t="shared" si="29"/>
        <v>-19619.2241987249</v>
      </c>
      <c r="W57" s="17">
        <f t="shared" si="30"/>
        <v>-3.234570683893577</v>
      </c>
      <c r="X57" s="17">
        <f t="shared" si="31"/>
        <v>-5.1829910685085112</v>
      </c>
      <c r="Y57" s="17">
        <f t="shared" si="32"/>
        <v>-19646.509236454218</v>
      </c>
      <c r="Z57" s="17">
        <f t="shared" si="33"/>
        <v>-19595.245534142541</v>
      </c>
      <c r="AA57" s="17">
        <f t="shared" si="34"/>
        <v>-2.3706603965925104</v>
      </c>
      <c r="AB57" s="17">
        <f t="shared" si="35"/>
        <v>-4.8500066999395965</v>
      </c>
      <c r="AC57" s="17">
        <f t="shared" si="36"/>
        <v>3.8921930234830198</v>
      </c>
      <c r="AD57" s="17">
        <f t="shared" si="4"/>
        <v>4.3253257906345404</v>
      </c>
      <c r="AE57" s="17">
        <f t="shared" si="5"/>
        <v>-6.2953274270595563E-2</v>
      </c>
      <c r="AF57" s="17">
        <f t="shared" si="37"/>
        <v>1.6570188032112406E-2</v>
      </c>
      <c r="AG57" s="17">
        <f t="shared" si="38"/>
        <v>4.5155021721796753E-3</v>
      </c>
      <c r="AH57" s="17">
        <f t="shared" si="39"/>
        <v>4.2830710037167279</v>
      </c>
      <c r="AI57" s="17">
        <f t="shared" si="40"/>
        <v>-0.43932726858337162</v>
      </c>
      <c r="AJ57" s="17">
        <f t="shared" si="41"/>
        <v>247.82291282244512</v>
      </c>
      <c r="AK57" s="17">
        <f t="shared" si="42"/>
        <v>-3.6069569222346418</v>
      </c>
      <c r="AL57" s="17">
        <f t="shared" si="43"/>
        <v>16.360138888888891</v>
      </c>
      <c r="AM57" s="17">
        <f t="shared" si="44"/>
        <v>-25.171944444444446</v>
      </c>
      <c r="AN57" s="17">
        <f t="shared" si="45"/>
        <v>0.94944444444444442</v>
      </c>
      <c r="AO57" s="17">
        <f t="shared" si="12"/>
        <v>16.513999999999999</v>
      </c>
      <c r="AP57" s="17">
        <f t="shared" si="7"/>
        <v>-0.15386111111110878</v>
      </c>
      <c r="AQ57" s="18">
        <f t="shared" si="8"/>
        <v>0</v>
      </c>
      <c r="AR57" s="18">
        <f t="shared" si="9"/>
        <v>1</v>
      </c>
      <c r="AS57" s="4">
        <f t="shared" si="10"/>
        <v>0</v>
      </c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</row>
    <row r="58" spans="1:109" ht="17.25" hidden="1">
      <c r="A58" s="2">
        <f t="shared" si="11"/>
        <v>11</v>
      </c>
      <c r="B58" s="19">
        <f t="shared" si="13"/>
        <v>0.23794547113848968</v>
      </c>
      <c r="C58" s="8">
        <f t="shared" si="14"/>
        <v>4.9265898157063424</v>
      </c>
      <c r="D58" s="8">
        <f t="shared" si="15"/>
        <v>4.945192841508498</v>
      </c>
      <c r="E58" s="8">
        <f t="shared" si="16"/>
        <v>3.9968520251246273</v>
      </c>
      <c r="F58" s="8">
        <f t="shared" si="17"/>
        <v>0.82279239187811382</v>
      </c>
      <c r="G58" s="8">
        <f t="shared" si="18"/>
        <v>0.43329633481573332</v>
      </c>
      <c r="H58" s="7">
        <f t="shared" si="0"/>
        <v>-84743.040974551623</v>
      </c>
      <c r="I58" s="8">
        <f t="shared" si="1"/>
        <v>-4.1091072196347476E-5</v>
      </c>
      <c r="J58" s="7">
        <f t="shared" si="2"/>
        <v>85746.063216447044</v>
      </c>
      <c r="K58" s="8">
        <f t="shared" si="3"/>
        <v>4.1569071793339023E-5</v>
      </c>
      <c r="L58" s="8">
        <f t="shared" si="19"/>
        <v>0.40903880546710319</v>
      </c>
      <c r="M58" s="8">
        <f t="shared" si="20"/>
        <v>0.40908037453889651</v>
      </c>
      <c r="N58" s="17">
        <f t="shared" si="21"/>
        <v>4.926656439258629</v>
      </c>
      <c r="O58" s="17">
        <f t="shared" si="22"/>
        <v>4.9451113301500982</v>
      </c>
      <c r="P58" s="17">
        <f t="shared" si="23"/>
        <v>3.9968141260658498</v>
      </c>
      <c r="Q58" s="17">
        <f t="shared" si="24"/>
        <v>0.82288849934078456</v>
      </c>
      <c r="R58" s="17">
        <f t="shared" si="25"/>
        <v>1.0000022079999999</v>
      </c>
      <c r="S58" s="17">
        <f t="shared" si="26"/>
        <v>0.99691084572666666</v>
      </c>
      <c r="T58" s="17">
        <f t="shared" si="27"/>
        <v>0.99953895709402618</v>
      </c>
      <c r="U58" s="17">
        <f t="shared" si="28"/>
        <v>-19659.398280475663</v>
      </c>
      <c r="V58" s="17">
        <f t="shared" si="29"/>
        <v>-19624.808262885213</v>
      </c>
      <c r="W58" s="17">
        <f t="shared" si="30"/>
        <v>-3.175567862329618</v>
      </c>
      <c r="X58" s="17">
        <f t="shared" si="31"/>
        <v>-3.9021439267778608</v>
      </c>
      <c r="Y58" s="17">
        <f t="shared" si="32"/>
        <v>-19652.578896699448</v>
      </c>
      <c r="Z58" s="17">
        <f t="shared" si="33"/>
        <v>-19600.798920138554</v>
      </c>
      <c r="AA58" s="17">
        <f t="shared" si="34"/>
        <v>-2.2858443279267253</v>
      </c>
      <c r="AB58" s="17">
        <f t="shared" si="35"/>
        <v>-3.5812791896053304</v>
      </c>
      <c r="AC58" s="17">
        <f t="shared" si="36"/>
        <v>3.901786771294248</v>
      </c>
      <c r="AD58" s="17">
        <f t="shared" si="4"/>
        <v>4.3348785550673581</v>
      </c>
      <c r="AE58" s="17">
        <f t="shared" si="5"/>
        <v>-6.3594824279356962E-2</v>
      </c>
      <c r="AF58" s="17">
        <f t="shared" si="37"/>
        <v>1.6576339553928739E-2</v>
      </c>
      <c r="AG58" s="17">
        <f t="shared" si="38"/>
        <v>4.5171785086261917E-3</v>
      </c>
      <c r="AH58" s="17">
        <f t="shared" si="39"/>
        <v>4.2933513334630256</v>
      </c>
      <c r="AI58" s="17">
        <f t="shared" si="40"/>
        <v>-0.44152399115128554</v>
      </c>
      <c r="AJ58" s="17">
        <f t="shared" si="41"/>
        <v>248.37024590712821</v>
      </c>
      <c r="AK58" s="17">
        <f t="shared" si="42"/>
        <v>-3.6437150300832508</v>
      </c>
      <c r="AL58" s="17">
        <f t="shared" si="43"/>
        <v>16.39938888888889</v>
      </c>
      <c r="AM58" s="17">
        <f t="shared" si="44"/>
        <v>-25.297777777777778</v>
      </c>
      <c r="AN58" s="17">
        <f t="shared" si="45"/>
        <v>0.94972222222222225</v>
      </c>
      <c r="AO58" s="17">
        <f t="shared" si="12"/>
        <v>16.513999999999999</v>
      </c>
      <c r="AP58" s="17">
        <f t="shared" si="7"/>
        <v>-0.11461111111110966</v>
      </c>
      <c r="AQ58" s="18">
        <f t="shared" si="8"/>
        <v>0</v>
      </c>
      <c r="AR58" s="18">
        <f t="shared" si="9"/>
        <v>1</v>
      </c>
      <c r="AS58" s="4">
        <f t="shared" si="10"/>
        <v>0</v>
      </c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</row>
    <row r="59" spans="1:109" ht="17.25" hidden="1">
      <c r="A59" s="2">
        <f t="shared" si="11"/>
        <v>12</v>
      </c>
      <c r="B59" s="19">
        <f t="shared" si="13"/>
        <v>0.237946611909651</v>
      </c>
      <c r="C59" s="8">
        <f t="shared" si="14"/>
        <v>4.9360909467755407</v>
      </c>
      <c r="D59" s="8">
        <f t="shared" si="15"/>
        <v>4.945909590257294</v>
      </c>
      <c r="E59" s="8">
        <f t="shared" si="16"/>
        <v>4.0064726800346957</v>
      </c>
      <c r="F59" s="8">
        <f t="shared" si="17"/>
        <v>0.83165775477206294</v>
      </c>
      <c r="G59" s="8">
        <f t="shared" si="18"/>
        <v>0.43325782579249339</v>
      </c>
      <c r="H59" s="7">
        <f t="shared" si="0"/>
        <v>-84714.904075867904</v>
      </c>
      <c r="I59" s="8">
        <f t="shared" si="1"/>
        <v>-4.1077177210107516E-5</v>
      </c>
      <c r="J59" s="7">
        <f t="shared" si="2"/>
        <v>85724.90849338437</v>
      </c>
      <c r="K59" s="8">
        <f t="shared" si="3"/>
        <v>4.1558729478237247E-5</v>
      </c>
      <c r="L59" s="8">
        <f t="shared" si="19"/>
        <v>0.4090388052082205</v>
      </c>
      <c r="M59" s="8">
        <f t="shared" si="20"/>
        <v>0.40908036393769875</v>
      </c>
      <c r="N59" s="17">
        <f t="shared" si="21"/>
        <v>4.9361575685046475</v>
      </c>
      <c r="O59" s="17">
        <f t="shared" si="22"/>
        <v>4.9458280788669811</v>
      </c>
      <c r="P59" s="17">
        <f t="shared" si="23"/>
        <v>4.0064347974523784</v>
      </c>
      <c r="Q59" s="17">
        <f t="shared" si="24"/>
        <v>0.831753860860168</v>
      </c>
      <c r="R59" s="17">
        <f t="shared" si="25"/>
        <v>1.0000022079999999</v>
      </c>
      <c r="S59" s="17">
        <f t="shared" si="26"/>
        <v>0.99691084287999998</v>
      </c>
      <c r="T59" s="17">
        <f t="shared" si="27"/>
        <v>0.99953895239635204</v>
      </c>
      <c r="U59" s="17">
        <f t="shared" si="28"/>
        <v>-19662.498549322772</v>
      </c>
      <c r="V59" s="17">
        <f t="shared" si="29"/>
        <v>-19629.087142714616</v>
      </c>
      <c r="W59" s="17">
        <f t="shared" si="30"/>
        <v>-3.1164600818780022</v>
      </c>
      <c r="X59" s="17">
        <f t="shared" si="31"/>
        <v>-2.6201397903070198</v>
      </c>
      <c r="Y59" s="17">
        <f t="shared" si="32"/>
        <v>-19657.185659297214</v>
      </c>
      <c r="Z59" s="17">
        <f t="shared" si="33"/>
        <v>-19605.076397759862</v>
      </c>
      <c r="AA59" s="17">
        <f t="shared" si="34"/>
        <v>-2.2013694328748361</v>
      </c>
      <c r="AB59" s="17">
        <f t="shared" si="35"/>
        <v>-2.3111878429587205</v>
      </c>
      <c r="AC59" s="17">
        <f t="shared" si="36"/>
        <v>3.911386704884062</v>
      </c>
      <c r="AD59" s="17">
        <f t="shared" si="4"/>
        <v>4.3444384120265997</v>
      </c>
      <c r="AE59" s="17">
        <f t="shared" si="5"/>
        <v>-6.4231004469698538E-2</v>
      </c>
      <c r="AF59" s="17">
        <f t="shared" si="37"/>
        <v>1.6582497689037485E-2</v>
      </c>
      <c r="AG59" s="17">
        <f t="shared" si="38"/>
        <v>4.5188566472451515E-3</v>
      </c>
      <c r="AH59" s="17">
        <f t="shared" si="39"/>
        <v>4.3036596498913378</v>
      </c>
      <c r="AI59" s="17">
        <f t="shared" si="40"/>
        <v>-0.44368121085388557</v>
      </c>
      <c r="AJ59" s="17">
        <f t="shared" si="41"/>
        <v>248.91798536364155</v>
      </c>
      <c r="AK59" s="17">
        <f t="shared" si="42"/>
        <v>-3.6801654699996531</v>
      </c>
      <c r="AL59" s="17">
        <f t="shared" si="43"/>
        <v>16.438777777777776</v>
      </c>
      <c r="AM59" s="17">
        <f t="shared" si="44"/>
        <v>-25.421388888888888</v>
      </c>
      <c r="AN59" s="17">
        <f t="shared" si="45"/>
        <v>0.95</v>
      </c>
      <c r="AO59" s="17">
        <f t="shared" si="12"/>
        <v>16.513999999999999</v>
      </c>
      <c r="AP59" s="17">
        <f t="shared" si="7"/>
        <v>-7.5222222222222968E-2</v>
      </c>
      <c r="AQ59" s="18">
        <f t="shared" si="8"/>
        <v>0</v>
      </c>
      <c r="AR59" s="18">
        <f t="shared" si="9"/>
        <v>1</v>
      </c>
      <c r="AS59" s="4">
        <f t="shared" si="10"/>
        <v>0</v>
      </c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</row>
    <row r="60" spans="1:109" ht="17.25" hidden="1">
      <c r="A60" s="2">
        <f t="shared" si="11"/>
        <v>13</v>
      </c>
      <c r="B60" s="19">
        <f t="shared" si="13"/>
        <v>0.23794775268081231</v>
      </c>
      <c r="C60" s="8">
        <f t="shared" si="14"/>
        <v>4.9455920778447382</v>
      </c>
      <c r="D60" s="8">
        <f t="shared" si="15"/>
        <v>4.9466263390060892</v>
      </c>
      <c r="E60" s="8">
        <f t="shared" si="16"/>
        <v>4.0160933349445092</v>
      </c>
      <c r="F60" s="8">
        <f t="shared" si="17"/>
        <v>0.8405231176660124</v>
      </c>
      <c r="G60" s="8">
        <f t="shared" si="18"/>
        <v>0.43321931676925246</v>
      </c>
      <c r="H60" s="7">
        <f t="shared" si="0"/>
        <v>-84685.962330100432</v>
      </c>
      <c r="I60" s="8">
        <f t="shared" si="1"/>
        <v>-4.106289247980859E-5</v>
      </c>
      <c r="J60" s="7">
        <f t="shared" si="2"/>
        <v>85704.018752035816</v>
      </c>
      <c r="K60" s="8">
        <f t="shared" si="3"/>
        <v>4.1548518637340379E-5</v>
      </c>
      <c r="L60" s="8">
        <f t="shared" si="19"/>
        <v>0.40903880494933775</v>
      </c>
      <c r="M60" s="8">
        <f t="shared" si="20"/>
        <v>0.40908035346797511</v>
      </c>
      <c r="N60" s="17">
        <f t="shared" si="21"/>
        <v>4.945658697750666</v>
      </c>
      <c r="O60" s="17">
        <f t="shared" si="22"/>
        <v>4.9465448275838355</v>
      </c>
      <c r="P60" s="17">
        <f t="shared" si="23"/>
        <v>4.0160554688384522</v>
      </c>
      <c r="Q60" s="17">
        <f t="shared" si="24"/>
        <v>0.84061922237955145</v>
      </c>
      <c r="R60" s="17">
        <f t="shared" si="25"/>
        <v>1.0000022079999999</v>
      </c>
      <c r="S60" s="17">
        <f t="shared" si="26"/>
        <v>0.9969108400333333</v>
      </c>
      <c r="T60" s="17">
        <f t="shared" si="27"/>
        <v>0.9995389476993658</v>
      </c>
      <c r="U60" s="17">
        <f t="shared" si="28"/>
        <v>-19664.118268056096</v>
      </c>
      <c r="V60" s="17">
        <f t="shared" si="29"/>
        <v>-19632.059308992557</v>
      </c>
      <c r="W60" s="17">
        <f t="shared" si="30"/>
        <v>-3.0573059578908097</v>
      </c>
      <c r="X60" s="17">
        <f t="shared" si="31"/>
        <v>-1.3370035747012885</v>
      </c>
      <c r="Y60" s="17">
        <f t="shared" si="32"/>
        <v>-19660.327186425253</v>
      </c>
      <c r="Z60" s="17">
        <f t="shared" si="33"/>
        <v>-19608.075893781453</v>
      </c>
      <c r="AA60" s="17">
        <f t="shared" si="34"/>
        <v>-2.1173175251962002</v>
      </c>
      <c r="AB60" s="17">
        <f t="shared" si="35"/>
        <v>-1.0397467168781367</v>
      </c>
      <c r="AC60" s="17">
        <f t="shared" si="36"/>
        <v>3.9209928343030591</v>
      </c>
      <c r="AD60" s="17">
        <f t="shared" si="4"/>
        <v>4.3540053728386177</v>
      </c>
      <c r="AE60" s="17">
        <f t="shared" si="5"/>
        <v>-6.486174520057722E-2</v>
      </c>
      <c r="AF60" s="17">
        <f t="shared" si="37"/>
        <v>1.6588662369285041E-2</v>
      </c>
      <c r="AG60" s="17">
        <f t="shared" si="38"/>
        <v>4.5205365694641802E-3</v>
      </c>
      <c r="AH60" s="17">
        <f t="shared" si="39"/>
        <v>4.3139957633341242</v>
      </c>
      <c r="AI60" s="17">
        <f t="shared" si="40"/>
        <v>-0.44579853479646275</v>
      </c>
      <c r="AJ60" s="17">
        <f t="shared" si="41"/>
        <v>249.46613184093724</v>
      </c>
      <c r="AK60" s="17">
        <f t="shared" si="42"/>
        <v>-3.7163042518459983</v>
      </c>
      <c r="AL60" s="17">
        <f t="shared" si="43"/>
        <v>16.478249999999999</v>
      </c>
      <c r="AM60" s="17">
        <f t="shared" si="44"/>
        <v>-25.542777777777779</v>
      </c>
      <c r="AN60" s="17">
        <f t="shared" si="45"/>
        <v>0.9505555555555556</v>
      </c>
      <c r="AO60" s="17">
        <f t="shared" si="12"/>
        <v>16.513999999999999</v>
      </c>
      <c r="AP60" s="17">
        <f t="shared" si="7"/>
        <v>-3.5750000000000171E-2</v>
      </c>
      <c r="AQ60" s="18">
        <f t="shared" si="8"/>
        <v>13</v>
      </c>
      <c r="AR60" s="18">
        <f t="shared" si="9"/>
        <v>1</v>
      </c>
      <c r="AS60" s="4">
        <f t="shared" si="10"/>
        <v>0</v>
      </c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</row>
    <row r="61" spans="1:109" ht="17.25" hidden="1">
      <c r="A61" s="2">
        <f t="shared" si="11"/>
        <v>14</v>
      </c>
      <c r="B61" s="19">
        <f t="shared" si="13"/>
        <v>0.23794889345197362</v>
      </c>
      <c r="C61" s="8">
        <f t="shared" si="14"/>
        <v>4.9550932089139366</v>
      </c>
      <c r="D61" s="8">
        <f t="shared" si="15"/>
        <v>4.9473430877549172</v>
      </c>
      <c r="E61" s="8">
        <f t="shared" si="16"/>
        <v>4.0257139898550856</v>
      </c>
      <c r="F61" s="8">
        <f t="shared" si="17"/>
        <v>0.84938848056021565</v>
      </c>
      <c r="G61" s="8">
        <f t="shared" si="18"/>
        <v>0.43318080774601259</v>
      </c>
      <c r="H61" s="7">
        <f t="shared" si="0"/>
        <v>-84656.225896833726</v>
      </c>
      <c r="I61" s="8">
        <f t="shared" si="1"/>
        <v>-4.1048223260103077E-5</v>
      </c>
      <c r="J61" s="7">
        <f t="shared" si="2"/>
        <v>85683.4008391518</v>
      </c>
      <c r="K61" s="8">
        <f t="shared" si="3"/>
        <v>4.1538442597068446E-5</v>
      </c>
      <c r="L61" s="8">
        <f t="shared" si="19"/>
        <v>0.40903880469045506</v>
      </c>
      <c r="M61" s="8">
        <f t="shared" si="20"/>
        <v>0.40908034313305214</v>
      </c>
      <c r="N61" s="17">
        <f t="shared" si="21"/>
        <v>4.9551598269962298</v>
      </c>
      <c r="O61" s="17">
        <f t="shared" si="22"/>
        <v>4.9472615763006615</v>
      </c>
      <c r="P61" s="17">
        <f t="shared" si="23"/>
        <v>4.0256761402252081</v>
      </c>
      <c r="Q61" s="17">
        <f t="shared" si="24"/>
        <v>0.84948458389870751</v>
      </c>
      <c r="R61" s="17">
        <f t="shared" si="25"/>
        <v>1.0000022079999999</v>
      </c>
      <c r="S61" s="17">
        <f t="shared" si="26"/>
        <v>0.99691083718666662</v>
      </c>
      <c r="T61" s="17">
        <f t="shared" si="27"/>
        <v>0.99953894300306734</v>
      </c>
      <c r="U61" s="17">
        <f t="shared" si="28"/>
        <v>-19664.256659682775</v>
      </c>
      <c r="V61" s="17">
        <f t="shared" si="29"/>
        <v>-19633.723190045679</v>
      </c>
      <c r="W61" s="17">
        <f t="shared" si="30"/>
        <v>-2.9981639889316214</v>
      </c>
      <c r="X61" s="17">
        <f t="shared" si="31"/>
        <v>-5.27601803056892E-2</v>
      </c>
      <c r="Y61" s="17">
        <f t="shared" si="32"/>
        <v>-19662.00116190772</v>
      </c>
      <c r="Z61" s="17">
        <f t="shared" si="33"/>
        <v>-19609.795268299324</v>
      </c>
      <c r="AA61" s="17">
        <f t="shared" si="34"/>
        <v>-2.0337698615922006</v>
      </c>
      <c r="AB61" s="17">
        <f t="shared" si="35"/>
        <v>0.23302990603613738</v>
      </c>
      <c r="AC61" s="17">
        <f t="shared" si="36"/>
        <v>3.9306051699269227</v>
      </c>
      <c r="AD61" s="17">
        <f t="shared" si="4"/>
        <v>4.3635794487251403</v>
      </c>
      <c r="AE61" s="17">
        <f t="shared" si="5"/>
        <v>-6.548697710332653E-2</v>
      </c>
      <c r="AF61" s="17">
        <f t="shared" si="37"/>
        <v>1.6594833525423361E-2</v>
      </c>
      <c r="AG61" s="17">
        <f t="shared" si="38"/>
        <v>4.5222182564126591E-3</v>
      </c>
      <c r="AH61" s="17">
        <f t="shared" si="39"/>
        <v>4.3243594722333736</v>
      </c>
      <c r="AI61" s="17">
        <f t="shared" si="40"/>
        <v>-0.44787557267796091</v>
      </c>
      <c r="AJ61" s="17">
        <f t="shared" si="41"/>
        <v>250.01468598197295</v>
      </c>
      <c r="AK61" s="17">
        <f t="shared" si="42"/>
        <v>-3.7521274010904673</v>
      </c>
      <c r="AL61" s="17">
        <f t="shared" si="43"/>
        <v>16.517833333333332</v>
      </c>
      <c r="AM61" s="17">
        <f t="shared" si="44"/>
        <v>-25.661666666666665</v>
      </c>
      <c r="AN61" s="17">
        <f t="shared" si="45"/>
        <v>0.95083333333333331</v>
      </c>
      <c r="AO61" s="17">
        <f t="shared" si="12"/>
        <v>16.513999999999999</v>
      </c>
      <c r="AP61" s="17">
        <f t="shared" si="7"/>
        <v>3.8333333333326891E-3</v>
      </c>
      <c r="AQ61" s="18">
        <f t="shared" si="8"/>
        <v>0</v>
      </c>
      <c r="AR61" s="18">
        <f t="shared" si="9"/>
        <v>0</v>
      </c>
      <c r="AS61" s="4">
        <f t="shared" si="10"/>
        <v>1</v>
      </c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</row>
    <row r="62" spans="1:109" ht="17.25" hidden="1">
      <c r="A62" s="2">
        <f t="shared" si="11"/>
        <v>15</v>
      </c>
      <c r="B62" s="19">
        <f t="shared" si="13"/>
        <v>0.23795003422313493</v>
      </c>
      <c r="C62" s="8">
        <f t="shared" si="14"/>
        <v>4.964594339983134</v>
      </c>
      <c r="D62" s="8">
        <f t="shared" si="15"/>
        <v>4.9480598365037123</v>
      </c>
      <c r="E62" s="8">
        <f t="shared" si="16"/>
        <v>4.035334644764899</v>
      </c>
      <c r="F62" s="8">
        <f t="shared" si="17"/>
        <v>0.85825384345391076</v>
      </c>
      <c r="G62" s="8">
        <f t="shared" si="18"/>
        <v>0.43314229872277166</v>
      </c>
      <c r="H62" s="7">
        <f t="shared" si="0"/>
        <v>-84625.705257541878</v>
      </c>
      <c r="I62" s="8">
        <f t="shared" si="1"/>
        <v>-4.1033174960043332E-5</v>
      </c>
      <c r="J62" s="7">
        <f t="shared" si="2"/>
        <v>85663.061537639907</v>
      </c>
      <c r="K62" s="8">
        <f t="shared" si="3"/>
        <v>4.1528504646539454E-5</v>
      </c>
      <c r="L62" s="8">
        <f t="shared" si="19"/>
        <v>0.40903880443157226</v>
      </c>
      <c r="M62" s="8">
        <f t="shared" si="20"/>
        <v>0.40908033293621882</v>
      </c>
      <c r="N62" s="17">
        <f t="shared" si="21"/>
        <v>4.964660956242021</v>
      </c>
      <c r="O62" s="17">
        <f t="shared" si="22"/>
        <v>4.9479783250174876</v>
      </c>
      <c r="P62" s="17">
        <f t="shared" si="23"/>
        <v>4.0352968116121914</v>
      </c>
      <c r="Q62" s="17">
        <f t="shared" si="24"/>
        <v>0.85834994541877307</v>
      </c>
      <c r="R62" s="17">
        <f t="shared" si="25"/>
        <v>1.0000022079999999</v>
      </c>
      <c r="S62" s="17">
        <f t="shared" si="26"/>
        <v>0.99691083434000005</v>
      </c>
      <c r="T62" s="17">
        <f t="shared" si="27"/>
        <v>0.99953893830745677</v>
      </c>
      <c r="U62" s="17">
        <f t="shared" si="28"/>
        <v>-19662.912983430648</v>
      </c>
      <c r="V62" s="17">
        <f t="shared" si="29"/>
        <v>-19634.077171546891</v>
      </c>
      <c r="W62" s="17">
        <f t="shared" si="30"/>
        <v>-2.9390924614668723</v>
      </c>
      <c r="X62" s="17">
        <f t="shared" si="31"/>
        <v>1.2325654840188145</v>
      </c>
      <c r="Y62" s="17">
        <f t="shared" si="32"/>
        <v>-19662.205291748716</v>
      </c>
      <c r="Z62" s="17">
        <f t="shared" si="33"/>
        <v>-19610.232315150242</v>
      </c>
      <c r="AA62" s="17">
        <f t="shared" si="34"/>
        <v>-1.9508070341908841</v>
      </c>
      <c r="AB62" s="17">
        <f t="shared" si="35"/>
        <v>1.507127485506488</v>
      </c>
      <c r="AC62" s="17">
        <f t="shared" si="36"/>
        <v>3.9402237224509804</v>
      </c>
      <c r="AD62" s="17">
        <f t="shared" si="4"/>
        <v>4.3731606507988623</v>
      </c>
      <c r="AE62" s="17">
        <f t="shared" si="5"/>
        <v>-6.6106631089117185E-2</v>
      </c>
      <c r="AF62" s="17">
        <f t="shared" si="37"/>
        <v>1.660101108695498E-2</v>
      </c>
      <c r="AG62" s="17">
        <f t="shared" si="38"/>
        <v>4.5239016888794928E-3</v>
      </c>
      <c r="AH62" s="17">
        <f t="shared" si="39"/>
        <v>4.3347505630827223</v>
      </c>
      <c r="AI62" s="17">
        <f t="shared" si="40"/>
        <v>-0.44991193695055814</v>
      </c>
      <c r="AJ62" s="17">
        <f t="shared" si="41"/>
        <v>250.5636484234592</v>
      </c>
      <c r="AK62" s="17">
        <f t="shared" si="42"/>
        <v>-3.7876309592347317</v>
      </c>
      <c r="AL62" s="17">
        <f t="shared" si="43"/>
        <v>16.557527777777779</v>
      </c>
      <c r="AM62" s="17">
        <f t="shared" si="44"/>
        <v>-25.778333333333332</v>
      </c>
      <c r="AN62" s="17">
        <f t="shared" si="45"/>
        <v>0.95111111111111113</v>
      </c>
      <c r="AO62" s="17">
        <f t="shared" si="12"/>
        <v>16.513999999999999</v>
      </c>
      <c r="AP62" s="17">
        <f t="shared" si="7"/>
        <v>4.3527777777779164E-2</v>
      </c>
      <c r="AQ62" s="18">
        <f t="shared" si="8"/>
        <v>0</v>
      </c>
      <c r="AR62" s="18">
        <f t="shared" si="9"/>
        <v>0</v>
      </c>
      <c r="AS62" s="4">
        <f t="shared" si="10"/>
        <v>1</v>
      </c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</row>
    <row r="63" spans="1:109" ht="17.25" hidden="1">
      <c r="A63" s="2">
        <f t="shared" si="11"/>
        <v>16</v>
      </c>
      <c r="B63" s="19">
        <f t="shared" si="13"/>
        <v>0.23795117499429624</v>
      </c>
      <c r="C63" s="8">
        <f t="shared" si="14"/>
        <v>4.9740954710523324</v>
      </c>
      <c r="D63" s="8">
        <f t="shared" si="15"/>
        <v>4.9487765852525083</v>
      </c>
      <c r="E63" s="8">
        <f t="shared" si="16"/>
        <v>4.0449552996747133</v>
      </c>
      <c r="F63" s="8">
        <f t="shared" si="17"/>
        <v>0.86711920634786011</v>
      </c>
      <c r="G63" s="8">
        <f t="shared" si="18"/>
        <v>0.43310378969953073</v>
      </c>
      <c r="H63" s="7">
        <f t="shared" si="0"/>
        <v>-84594.411214544351</v>
      </c>
      <c r="I63" s="8">
        <f t="shared" si="1"/>
        <v>-4.1017753142013663E-5</v>
      </c>
      <c r="J63" s="7">
        <f t="shared" si="2"/>
        <v>85643.007563438485</v>
      </c>
      <c r="K63" s="8">
        <f t="shared" si="3"/>
        <v>4.1518708036080434E-5</v>
      </c>
      <c r="L63" s="8">
        <f t="shared" si="19"/>
        <v>0.40903880417268956</v>
      </c>
      <c r="M63" s="8">
        <f t="shared" si="20"/>
        <v>0.40908032288072566</v>
      </c>
      <c r="N63" s="17">
        <f t="shared" si="21"/>
        <v>4.9741620854880395</v>
      </c>
      <c r="O63" s="17">
        <f t="shared" si="22"/>
        <v>4.948695073734342</v>
      </c>
      <c r="P63" s="17">
        <f t="shared" si="23"/>
        <v>4.0449174829994021</v>
      </c>
      <c r="Q63" s="17">
        <f t="shared" si="24"/>
        <v>0.86721530693792914</v>
      </c>
      <c r="R63" s="17">
        <f t="shared" si="25"/>
        <v>1.0000022079999999</v>
      </c>
      <c r="S63" s="17">
        <f t="shared" si="26"/>
        <v>0.99691083149333337</v>
      </c>
      <c r="T63" s="17">
        <f t="shared" si="27"/>
        <v>0.9995389336125341</v>
      </c>
      <c r="U63" s="17">
        <f t="shared" si="28"/>
        <v>-19660.086533929207</v>
      </c>
      <c r="V63" s="17">
        <f t="shared" si="29"/>
        <v>-19633.119596376036</v>
      </c>
      <c r="W63" s="17">
        <f t="shared" si="30"/>
        <v>-2.8801493547665711</v>
      </c>
      <c r="X63" s="17">
        <f t="shared" si="31"/>
        <v>2.5189484763117664</v>
      </c>
      <c r="Y63" s="17">
        <f t="shared" si="32"/>
        <v>-19660.93730467253</v>
      </c>
      <c r="Z63" s="17">
        <f t="shared" si="33"/>
        <v>-19609.384762404585</v>
      </c>
      <c r="AA63" s="17">
        <f t="shared" si="34"/>
        <v>-1.8685088639454586</v>
      </c>
      <c r="AB63" s="17">
        <f t="shared" si="35"/>
        <v>2.7825311910798596</v>
      </c>
      <c r="AC63" s="17">
        <f t="shared" si="36"/>
        <v>3.9498485028898567</v>
      </c>
      <c r="AD63" s="17">
        <f t="shared" si="4"/>
        <v>4.3827489900633303</v>
      </c>
      <c r="AE63" s="17">
        <f t="shared" si="5"/>
        <v>-6.6720638356751544E-2</v>
      </c>
      <c r="AF63" s="17">
        <f t="shared" si="37"/>
        <v>1.6607194981975496E-2</v>
      </c>
      <c r="AG63" s="17">
        <f t="shared" si="38"/>
        <v>4.5255868472701861E-3</v>
      </c>
      <c r="AH63" s="17">
        <f t="shared" si="39"/>
        <v>4.3451688103837576</v>
      </c>
      <c r="AI63" s="17">
        <f t="shared" si="40"/>
        <v>-0.45190724298206797</v>
      </c>
      <c r="AJ63" s="17">
        <f t="shared" si="41"/>
        <v>251.11301979585278</v>
      </c>
      <c r="AK63" s="17">
        <f t="shared" si="42"/>
        <v>-3.8228109842605398</v>
      </c>
      <c r="AL63" s="17">
        <f t="shared" si="43"/>
        <v>16.597333333333335</v>
      </c>
      <c r="AM63" s="17">
        <f t="shared" si="44"/>
        <v>-25.892777777777777</v>
      </c>
      <c r="AN63" s="17">
        <f t="shared" si="45"/>
        <v>0.95138888888888884</v>
      </c>
      <c r="AO63" s="17">
        <f t="shared" si="12"/>
        <v>16.513999999999999</v>
      </c>
      <c r="AP63" s="17">
        <f t="shared" si="7"/>
        <v>8.3333333333335702E-2</v>
      </c>
      <c r="AQ63" s="18">
        <f t="shared" si="8"/>
        <v>0</v>
      </c>
      <c r="AR63" s="18">
        <f t="shared" si="9"/>
        <v>0</v>
      </c>
      <c r="AS63" s="4">
        <f t="shared" si="10"/>
        <v>1</v>
      </c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</row>
    <row r="64" spans="1:109" ht="17.25" hidden="1">
      <c r="A64" s="2">
        <f t="shared" si="11"/>
        <v>17</v>
      </c>
      <c r="B64" s="19">
        <f t="shared" si="13"/>
        <v>0.23795231576545756</v>
      </c>
      <c r="C64" s="8">
        <f t="shared" si="14"/>
        <v>4.9835966021215308</v>
      </c>
      <c r="D64" s="8">
        <f t="shared" si="15"/>
        <v>4.9494933340013034</v>
      </c>
      <c r="E64" s="8">
        <f t="shared" si="16"/>
        <v>4.0545759545850357</v>
      </c>
      <c r="F64" s="8">
        <f t="shared" si="17"/>
        <v>0.87598456924231727</v>
      </c>
      <c r="G64" s="8">
        <f t="shared" si="18"/>
        <v>0.43306528067629085</v>
      </c>
      <c r="H64" s="7">
        <f t="shared" si="0"/>
        <v>-84562.354889796887</v>
      </c>
      <c r="I64" s="8">
        <f t="shared" si="1"/>
        <v>-4.1001963520581689E-5</v>
      </c>
      <c r="J64" s="7">
        <f t="shared" si="2"/>
        <v>85623.245562411423</v>
      </c>
      <c r="K64" s="8">
        <f t="shared" si="3"/>
        <v>4.1509055975762943E-5</v>
      </c>
      <c r="L64" s="8">
        <f t="shared" si="19"/>
        <v>0.40903880391380687</v>
      </c>
      <c r="M64" s="8">
        <f t="shared" si="20"/>
        <v>0.40908031296978264</v>
      </c>
      <c r="N64" s="17">
        <f t="shared" si="21"/>
        <v>4.9836632147336033</v>
      </c>
      <c r="O64" s="17">
        <f t="shared" si="22"/>
        <v>4.9494118224511965</v>
      </c>
      <c r="P64" s="17">
        <f t="shared" si="23"/>
        <v>4.0545381543861581</v>
      </c>
      <c r="Q64" s="17">
        <f t="shared" si="24"/>
        <v>0.87608066845731258</v>
      </c>
      <c r="R64" s="17">
        <f t="shared" si="25"/>
        <v>1.0000022079999999</v>
      </c>
      <c r="S64" s="17">
        <f t="shared" si="26"/>
        <v>0.99691082864666669</v>
      </c>
      <c r="T64" s="17">
        <f t="shared" si="27"/>
        <v>0.99953892891829932</v>
      </c>
      <c r="U64" s="17">
        <f t="shared" si="28"/>
        <v>-19655.776640502867</v>
      </c>
      <c r="V64" s="17">
        <f t="shared" si="29"/>
        <v>-19630.84876465534</v>
      </c>
      <c r="W64" s="17">
        <f t="shared" si="30"/>
        <v>-2.8213922459826826</v>
      </c>
      <c r="X64" s="17">
        <f t="shared" si="31"/>
        <v>3.806363796203692</v>
      </c>
      <c r="Y64" s="17">
        <f t="shared" si="32"/>
        <v>-19658.194952785503</v>
      </c>
      <c r="Z64" s="17">
        <f t="shared" si="33"/>
        <v>-19607.250273046699</v>
      </c>
      <c r="AA64" s="17">
        <f t="shared" si="34"/>
        <v>-1.786954294883466</v>
      </c>
      <c r="AB64" s="17">
        <f t="shared" si="35"/>
        <v>4.0592258691634511</v>
      </c>
      <c r="AC64" s="17">
        <f t="shared" si="36"/>
        <v>3.9594795225730408</v>
      </c>
      <c r="AD64" s="17">
        <f t="shared" si="4"/>
        <v>4.3923444774092797</v>
      </c>
      <c r="AE64" s="17">
        <f t="shared" si="5"/>
        <v>-6.7328930400279485E-2</v>
      </c>
      <c r="AF64" s="17">
        <f t="shared" si="37"/>
        <v>1.6613385137013693E-2</v>
      </c>
      <c r="AG64" s="17">
        <f t="shared" si="38"/>
        <v>4.5272737115632728E-3</v>
      </c>
      <c r="AH64" s="17">
        <f t="shared" si="39"/>
        <v>4.3556139766083497</v>
      </c>
      <c r="AI64" s="17">
        <f t="shared" si="40"/>
        <v>-0.45386110921931722</v>
      </c>
      <c r="AJ64" s="17">
        <f t="shared" si="41"/>
        <v>251.66280072314692</v>
      </c>
      <c r="AK64" s="17">
        <f t="shared" si="42"/>
        <v>-3.8576635510660791</v>
      </c>
      <c r="AL64" s="17">
        <f t="shared" si="43"/>
        <v>16.637222222222221</v>
      </c>
      <c r="AM64" s="17">
        <f t="shared" si="44"/>
        <v>-26.004722222222224</v>
      </c>
      <c r="AN64" s="17">
        <f t="shared" si="45"/>
        <v>0.95194444444444448</v>
      </c>
      <c r="AO64" s="17">
        <f t="shared" si="12"/>
        <v>16.513999999999999</v>
      </c>
      <c r="AP64" s="17">
        <f t="shared" si="7"/>
        <v>0.12322222222222123</v>
      </c>
      <c r="AQ64" s="18">
        <f t="shared" si="8"/>
        <v>0</v>
      </c>
      <c r="AR64" s="18">
        <f t="shared" si="9"/>
        <v>0</v>
      </c>
      <c r="AS64" s="4">
        <f t="shared" si="10"/>
        <v>1</v>
      </c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</row>
    <row r="65" spans="1:109" ht="17.25" hidden="1">
      <c r="A65" s="2">
        <f t="shared" si="11"/>
        <v>18</v>
      </c>
      <c r="B65" s="19">
        <f t="shared" si="13"/>
        <v>0.23795345653661887</v>
      </c>
      <c r="C65" s="8">
        <f t="shared" si="14"/>
        <v>4.9930977331907282</v>
      </c>
      <c r="D65" s="8">
        <f t="shared" si="15"/>
        <v>4.9502100827501314</v>
      </c>
      <c r="E65" s="8">
        <f t="shared" si="16"/>
        <v>4.0641966094948492</v>
      </c>
      <c r="F65" s="8">
        <f t="shared" si="17"/>
        <v>0.8848499321360126</v>
      </c>
      <c r="G65" s="8">
        <f t="shared" si="18"/>
        <v>0.43302677165305092</v>
      </c>
      <c r="H65" s="7">
        <f t="shared" si="0"/>
        <v>-84529.547723539639</v>
      </c>
      <c r="I65" s="8">
        <f t="shared" si="1"/>
        <v>-4.0985811961280121E-5</v>
      </c>
      <c r="J65" s="7">
        <f t="shared" si="2"/>
        <v>85603.782107224382</v>
      </c>
      <c r="K65" s="8">
        <f t="shared" si="3"/>
        <v>4.1499551633943206E-5</v>
      </c>
      <c r="L65" s="8">
        <f t="shared" si="19"/>
        <v>0.40903880365492412</v>
      </c>
      <c r="M65" s="8">
        <f t="shared" si="20"/>
        <v>0.40908030320655808</v>
      </c>
      <c r="N65" s="17">
        <f t="shared" si="21"/>
        <v>4.9931643439793945</v>
      </c>
      <c r="O65" s="17">
        <f t="shared" si="22"/>
        <v>4.9501285711680225</v>
      </c>
      <c r="P65" s="17">
        <f t="shared" si="23"/>
        <v>4.0641588257733687</v>
      </c>
      <c r="Q65" s="17">
        <f t="shared" si="24"/>
        <v>0.88494602997646865</v>
      </c>
      <c r="R65" s="17">
        <f t="shared" si="25"/>
        <v>1.0000022079999999</v>
      </c>
      <c r="S65" s="17">
        <f t="shared" si="26"/>
        <v>0.99691082580000001</v>
      </c>
      <c r="T65" s="17">
        <f t="shared" si="27"/>
        <v>0.99953892422475243</v>
      </c>
      <c r="U65" s="17">
        <f t="shared" si="28"/>
        <v>-19649.982666367301</v>
      </c>
      <c r="V65" s="17">
        <f t="shared" si="29"/>
        <v>-19627.262933752267</v>
      </c>
      <c r="W65" s="17">
        <f t="shared" si="30"/>
        <v>-2.7628782159675529</v>
      </c>
      <c r="X65" s="17">
        <f t="shared" si="31"/>
        <v>5.0947863601642451</v>
      </c>
      <c r="Y65" s="17">
        <f t="shared" si="32"/>
        <v>-19653.976012149935</v>
      </c>
      <c r="Z65" s="17">
        <f t="shared" si="33"/>
        <v>-19603.826445634419</v>
      </c>
      <c r="AA65" s="17">
        <f t="shared" si="34"/>
        <v>-1.7062212897624323</v>
      </c>
      <c r="AB65" s="17">
        <f t="shared" si="35"/>
        <v>5.3371960108847238</v>
      </c>
      <c r="AC65" s="17">
        <f t="shared" si="36"/>
        <v>3.9691167931439639</v>
      </c>
      <c r="AD65" s="17">
        <f t="shared" si="4"/>
        <v>4.4019471236088981</v>
      </c>
      <c r="AE65" s="17">
        <f t="shared" si="5"/>
        <v>-6.7931439016825648E-2</v>
      </c>
      <c r="AF65" s="17">
        <f t="shared" si="37"/>
        <v>1.6619581476875735E-2</v>
      </c>
      <c r="AG65" s="17">
        <f t="shared" si="38"/>
        <v>4.5289622612678625E-3</v>
      </c>
      <c r="AH65" s="17">
        <f t="shared" si="39"/>
        <v>4.3660858121688673</v>
      </c>
      <c r="AI65" s="17">
        <f t="shared" si="40"/>
        <v>-0.45577315735305091</v>
      </c>
      <c r="AJ65" s="17">
        <f t="shared" si="41"/>
        <v>252.21299182254236</v>
      </c>
      <c r="AK65" s="17">
        <f t="shared" si="42"/>
        <v>-3.8921847519144399</v>
      </c>
      <c r="AL65" s="17">
        <f t="shared" si="43"/>
        <v>16.677222222222223</v>
      </c>
      <c r="AM65" s="17">
        <f t="shared" si="44"/>
        <v>-26.114166666666666</v>
      </c>
      <c r="AN65" s="17">
        <f t="shared" si="45"/>
        <v>0.95222222222222219</v>
      </c>
      <c r="AO65" s="17">
        <f t="shared" si="12"/>
        <v>16.513999999999999</v>
      </c>
      <c r="AP65" s="17">
        <f t="shared" si="7"/>
        <v>0.16322222222222393</v>
      </c>
      <c r="AQ65" s="18">
        <f t="shared" si="8"/>
        <v>0</v>
      </c>
      <c r="AR65" s="18">
        <f t="shared" si="9"/>
        <v>0</v>
      </c>
      <c r="AS65" s="4">
        <f t="shared" si="10"/>
        <v>1</v>
      </c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</row>
    <row r="66" spans="1:109" ht="17.25" hidden="1">
      <c r="A66" s="2">
        <f t="shared" si="11"/>
        <v>19</v>
      </c>
      <c r="B66" s="19">
        <f t="shared" si="13"/>
        <v>0.23795459730778018</v>
      </c>
      <c r="C66" s="8">
        <f t="shared" si="14"/>
        <v>5.0025988642596726</v>
      </c>
      <c r="D66" s="8">
        <f t="shared" si="15"/>
        <v>4.9509268314989265</v>
      </c>
      <c r="E66" s="8">
        <f t="shared" si="16"/>
        <v>4.0738172644046635</v>
      </c>
      <c r="F66" s="8">
        <f t="shared" si="17"/>
        <v>0.89371529502996183</v>
      </c>
      <c r="G66" s="8">
        <f t="shared" si="18"/>
        <v>0.43298826262980905</v>
      </c>
      <c r="H66" s="7">
        <f t="shared" si="0"/>
        <v>-84496.00147277482</v>
      </c>
      <c r="I66" s="8">
        <f t="shared" si="1"/>
        <v>-4.0969304479307097E-5</v>
      </c>
      <c r="J66" s="7">
        <f t="shared" si="2"/>
        <v>85584.623694206064</v>
      </c>
      <c r="K66" s="8">
        <f t="shared" si="3"/>
        <v>4.1490198135808661E-5</v>
      </c>
      <c r="L66" s="8">
        <f t="shared" si="19"/>
        <v>0.40903880339604132</v>
      </c>
      <c r="M66" s="8">
        <f t="shared" si="20"/>
        <v>0.40908029359417714</v>
      </c>
      <c r="N66" s="17">
        <f t="shared" si="21"/>
        <v>5.002665473225413</v>
      </c>
      <c r="O66" s="17">
        <f t="shared" si="22"/>
        <v>4.950845319884877</v>
      </c>
      <c r="P66" s="17">
        <f t="shared" si="23"/>
        <v>4.0737794971610342</v>
      </c>
      <c r="Q66" s="17">
        <f t="shared" si="24"/>
        <v>0.89381139149607947</v>
      </c>
      <c r="R66" s="17">
        <f t="shared" si="25"/>
        <v>1.0000022079999999</v>
      </c>
      <c r="S66" s="17">
        <f t="shared" si="26"/>
        <v>0.99691082295333333</v>
      </c>
      <c r="T66" s="17">
        <f t="shared" si="27"/>
        <v>0.99953891953189344</v>
      </c>
      <c r="U66" s="17">
        <f t="shared" si="28"/>
        <v>-19642.704007967546</v>
      </c>
      <c r="V66" s="17">
        <f t="shared" si="29"/>
        <v>-19622.360318484294</v>
      </c>
      <c r="W66" s="17">
        <f t="shared" si="30"/>
        <v>-2.7046637556624131</v>
      </c>
      <c r="X66" s="17">
        <f t="shared" si="31"/>
        <v>6.3841909750999957</v>
      </c>
      <c r="Y66" s="17">
        <f t="shared" si="32"/>
        <v>-19648.278283505751</v>
      </c>
      <c r="Z66" s="17">
        <f t="shared" si="33"/>
        <v>-19599.110815170643</v>
      </c>
      <c r="AA66" s="17">
        <f t="shared" si="34"/>
        <v>-1.6263867269523968</v>
      </c>
      <c r="AB66" s="17">
        <f t="shared" si="35"/>
        <v>6.6164257185733231</v>
      </c>
      <c r="AC66" s="17">
        <f t="shared" si="36"/>
        <v>3.9787603265532683</v>
      </c>
      <c r="AD66" s="17">
        <f t="shared" si="4"/>
        <v>4.4115569393166503</v>
      </c>
      <c r="AE66" s="17">
        <f t="shared" si="5"/>
        <v>-6.8528096314131162E-2</v>
      </c>
      <c r="AF66" s="17">
        <f t="shared" si="37"/>
        <v>1.6625783924482645E-2</v>
      </c>
      <c r="AG66" s="17">
        <f t="shared" si="38"/>
        <v>4.5306524753793475E-3</v>
      </c>
      <c r="AH66" s="17">
        <f t="shared" si="39"/>
        <v>4.376584055406159</v>
      </c>
      <c r="AI66" s="17">
        <f t="shared" si="40"/>
        <v>-0.45764301248491573</v>
      </c>
      <c r="AJ66" s="17">
        <f t="shared" si="41"/>
        <v>252.76359370449507</v>
      </c>
      <c r="AK66" s="17">
        <f t="shared" si="42"/>
        <v>-3.9263706968657286</v>
      </c>
      <c r="AL66" s="17">
        <f t="shared" si="43"/>
        <v>16.717333333333332</v>
      </c>
      <c r="AM66" s="17">
        <f t="shared" si="44"/>
        <v>-26.221388888888889</v>
      </c>
      <c r="AN66" s="17">
        <f t="shared" si="45"/>
        <v>0.95250000000000001</v>
      </c>
      <c r="AO66" s="17">
        <f t="shared" si="12"/>
        <v>16.513999999999999</v>
      </c>
      <c r="AP66" s="17">
        <f t="shared" si="7"/>
        <v>0.20333333333333314</v>
      </c>
      <c r="AQ66" s="18">
        <f t="shared" si="8"/>
        <v>0</v>
      </c>
      <c r="AR66" s="18">
        <f t="shared" si="9"/>
        <v>0</v>
      </c>
      <c r="AS66" s="4">
        <f t="shared" si="10"/>
        <v>1</v>
      </c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</row>
    <row r="67" spans="1:109" ht="17.25" hidden="1">
      <c r="A67" s="2">
        <f t="shared" si="11"/>
        <v>20</v>
      </c>
      <c r="B67" s="19">
        <f t="shared" si="13"/>
        <v>0.23795573807894149</v>
      </c>
      <c r="C67" s="8">
        <f t="shared" si="14"/>
        <v>5.012099995328871</v>
      </c>
      <c r="D67" s="8">
        <f t="shared" si="15"/>
        <v>4.9516435802477226</v>
      </c>
      <c r="E67" s="8">
        <f t="shared" si="16"/>
        <v>4.0834379193147319</v>
      </c>
      <c r="F67" s="8">
        <f t="shared" si="17"/>
        <v>0.90258065792365716</v>
      </c>
      <c r="G67" s="8">
        <f t="shared" si="18"/>
        <v>0.43294975360656907</v>
      </c>
      <c r="H67" s="7">
        <f t="shared" si="0"/>
        <v>-84461.728209657434</v>
      </c>
      <c r="I67" s="8">
        <f t="shared" si="1"/>
        <v>-4.0952447238186356E-5</v>
      </c>
      <c r="J67" s="7">
        <f t="shared" si="2"/>
        <v>85565.776740181478</v>
      </c>
      <c r="K67" s="8">
        <f t="shared" si="3"/>
        <v>4.1480998561924977E-5</v>
      </c>
      <c r="L67" s="8">
        <f t="shared" si="19"/>
        <v>0.40903880313715862</v>
      </c>
      <c r="M67" s="8">
        <f t="shared" si="20"/>
        <v>0.40908028413572056</v>
      </c>
      <c r="N67" s="17">
        <f t="shared" si="21"/>
        <v>5.0121666024707494</v>
      </c>
      <c r="O67" s="17">
        <f t="shared" si="22"/>
        <v>4.9515620686017314</v>
      </c>
      <c r="P67" s="17">
        <f t="shared" si="23"/>
        <v>4.0834001685486996</v>
      </c>
      <c r="Q67" s="17">
        <f t="shared" si="24"/>
        <v>0.90267675301546291</v>
      </c>
      <c r="R67" s="17">
        <f t="shared" si="25"/>
        <v>1.0000022079999999</v>
      </c>
      <c r="S67" s="17">
        <f t="shared" si="26"/>
        <v>0.99691082010666665</v>
      </c>
      <c r="T67" s="17">
        <f t="shared" si="27"/>
        <v>0.99953891483972235</v>
      </c>
      <c r="U67" s="17">
        <f t="shared" si="28"/>
        <v>-19633.940094277124</v>
      </c>
      <c r="V67" s="17">
        <f t="shared" si="29"/>
        <v>-19616.139091346886</v>
      </c>
      <c r="W67" s="17">
        <f t="shared" si="30"/>
        <v>-2.6468046735315771</v>
      </c>
      <c r="X67" s="17">
        <f t="shared" si="31"/>
        <v>7.6745523121786725</v>
      </c>
      <c r="Y67" s="17">
        <f t="shared" si="32"/>
        <v>-19641.099592959359</v>
      </c>
      <c r="Z67" s="17">
        <f t="shared" si="33"/>
        <v>-19593.100854007931</v>
      </c>
      <c r="AA67" s="17">
        <f t="shared" si="34"/>
        <v>-1.5475262989957022</v>
      </c>
      <c r="AB67" s="17">
        <f t="shared" si="35"/>
        <v>7.8968986727404769</v>
      </c>
      <c r="AC67" s="17">
        <f t="shared" si="36"/>
        <v>3.9884101350548797</v>
      </c>
      <c r="AD67" s="17">
        <f t="shared" si="4"/>
        <v>4.4211739350636634</v>
      </c>
      <c r="AE67" s="17">
        <f t="shared" si="5"/>
        <v>-6.9118834718285962E-2</v>
      </c>
      <c r="AF67" s="17">
        <f t="shared" si="37"/>
        <v>1.6631992400710185E-2</v>
      </c>
      <c r="AG67" s="17">
        <f t="shared" si="38"/>
        <v>4.5323443323357715E-3</v>
      </c>
      <c r="AH67" s="17">
        <f t="shared" si="39"/>
        <v>4.3871084325812548</v>
      </c>
      <c r="AI67" s="17">
        <f t="shared" si="40"/>
        <v>-0.45947030329501848</v>
      </c>
      <c r="AJ67" s="17">
        <f t="shared" si="41"/>
        <v>253.31460697239422</v>
      </c>
      <c r="AK67" s="17">
        <f t="shared" si="42"/>
        <v>-3.9602175142200919</v>
      </c>
      <c r="AL67" s="17">
        <f t="shared" si="43"/>
        <v>16.757527777777778</v>
      </c>
      <c r="AM67" s="17">
        <f t="shared" si="44"/>
        <v>-26.326111111111111</v>
      </c>
      <c r="AN67" s="17">
        <f t="shared" si="45"/>
        <v>0.95305555555555554</v>
      </c>
      <c r="AO67" s="17">
        <f t="shared" si="12"/>
        <v>16.513999999999999</v>
      </c>
      <c r="AP67" s="17">
        <f t="shared" si="7"/>
        <v>0.24352777777777845</v>
      </c>
      <c r="AQ67" s="18">
        <f t="shared" si="8"/>
        <v>0</v>
      </c>
      <c r="AR67" s="18">
        <f t="shared" si="9"/>
        <v>0</v>
      </c>
      <c r="AS67" s="4">
        <f t="shared" si="10"/>
        <v>1</v>
      </c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</row>
    <row r="68" spans="1:109" ht="17.25" hidden="1">
      <c r="A68" s="2">
        <f t="shared" si="11"/>
        <v>21</v>
      </c>
      <c r="B68" s="19">
        <f t="shared" si="13"/>
        <v>0.2379568788501028</v>
      </c>
      <c r="C68" s="8">
        <f t="shared" si="14"/>
        <v>5.0216011263980684</v>
      </c>
      <c r="D68" s="8">
        <f t="shared" si="15"/>
        <v>4.9523603289965497</v>
      </c>
      <c r="E68" s="8">
        <f t="shared" si="16"/>
        <v>4.0930585742250534</v>
      </c>
      <c r="F68" s="8">
        <f t="shared" si="17"/>
        <v>0.91144602081786041</v>
      </c>
      <c r="G68" s="8">
        <f t="shared" si="18"/>
        <v>0.43291124458332919</v>
      </c>
      <c r="H68" s="7">
        <f t="shared" si="0"/>
        <v>-84426.740319649965</v>
      </c>
      <c r="I68" s="8">
        <f t="shared" si="1"/>
        <v>-4.0935246548316011E-5</v>
      </c>
      <c r="J68" s="7">
        <f t="shared" si="2"/>
        <v>85547.247579334944</v>
      </c>
      <c r="K68" s="8">
        <f t="shared" si="3"/>
        <v>4.1471955946810341E-5</v>
      </c>
      <c r="L68" s="8">
        <f t="shared" si="19"/>
        <v>0.40903880287827593</v>
      </c>
      <c r="M68" s="8">
        <f t="shared" si="20"/>
        <v>0.40908027483422277</v>
      </c>
      <c r="N68" s="17">
        <f t="shared" si="21"/>
        <v>5.0216677317165406</v>
      </c>
      <c r="O68" s="17">
        <f t="shared" si="22"/>
        <v>4.9522788173185575</v>
      </c>
      <c r="P68" s="17">
        <f t="shared" si="23"/>
        <v>4.093020839936365</v>
      </c>
      <c r="Q68" s="17">
        <f t="shared" si="24"/>
        <v>0.91154211453461897</v>
      </c>
      <c r="R68" s="17">
        <f t="shared" si="25"/>
        <v>1.0000022079999999</v>
      </c>
      <c r="S68" s="17">
        <f t="shared" si="26"/>
        <v>0.99691081725999997</v>
      </c>
      <c r="T68" s="17">
        <f t="shared" si="27"/>
        <v>0.99953891014823915</v>
      </c>
      <c r="U68" s="17">
        <f t="shared" si="28"/>
        <v>-19623.690386141425</v>
      </c>
      <c r="V68" s="17">
        <f t="shared" si="29"/>
        <v>-19608.597382845914</v>
      </c>
      <c r="W68" s="17">
        <f t="shared" si="30"/>
        <v>-2.589356004085464</v>
      </c>
      <c r="X68" s="17">
        <f t="shared" si="31"/>
        <v>8.9658448805760749</v>
      </c>
      <c r="Y68" s="17">
        <f t="shared" si="32"/>
        <v>-19632.437792721947</v>
      </c>
      <c r="Z68" s="17">
        <f t="shared" si="33"/>
        <v>-19585.793972867126</v>
      </c>
      <c r="AA68" s="17">
        <f t="shared" si="34"/>
        <v>-1.4697144128636661</v>
      </c>
      <c r="AB68" s="17">
        <f t="shared" si="35"/>
        <v>9.1785980992521203</v>
      </c>
      <c r="AC68" s="17">
        <f t="shared" si="36"/>
        <v>3.9980662312019786</v>
      </c>
      <c r="AD68" s="17">
        <f t="shared" si="4"/>
        <v>4.4307981212532397</v>
      </c>
      <c r="AE68" s="17">
        <f t="shared" si="5"/>
        <v>-6.9703586981506638E-2</v>
      </c>
      <c r="AF68" s="17">
        <f t="shared" si="37"/>
        <v>1.6638206824229715E-2</v>
      </c>
      <c r="AG68" s="17">
        <f t="shared" si="38"/>
        <v>4.5340378099744619E-3</v>
      </c>
      <c r="AH68" s="17">
        <f t="shared" si="39"/>
        <v>4.3976586578794201</v>
      </c>
      <c r="AI68" s="17">
        <f t="shared" si="40"/>
        <v>-0.46125466221086747</v>
      </c>
      <c r="AJ68" s="17">
        <f t="shared" si="41"/>
        <v>253.86603222230502</v>
      </c>
      <c r="AK68" s="17">
        <f t="shared" si="42"/>
        <v>-3.99372135096336</v>
      </c>
      <c r="AL68" s="17">
        <f t="shared" si="43"/>
        <v>16.797833333333333</v>
      </c>
      <c r="AM68" s="17">
        <f t="shared" si="44"/>
        <v>-26.428333333333335</v>
      </c>
      <c r="AN68" s="17">
        <f t="shared" si="45"/>
        <v>0.95333333333333337</v>
      </c>
      <c r="AO68" s="17">
        <f t="shared" si="12"/>
        <v>16.513999999999999</v>
      </c>
      <c r="AP68" s="17">
        <f t="shared" si="7"/>
        <v>0.28383333333333383</v>
      </c>
      <c r="AQ68" s="18">
        <f t="shared" si="8"/>
        <v>0</v>
      </c>
      <c r="AR68" s="18">
        <f t="shared" si="9"/>
        <v>0</v>
      </c>
      <c r="AS68" s="4">
        <f t="shared" si="10"/>
        <v>1</v>
      </c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</row>
    <row r="69" spans="1:109" ht="17.25" hidden="1">
      <c r="A69" s="2">
        <f t="shared" si="11"/>
        <v>22</v>
      </c>
      <c r="B69" s="19">
        <f t="shared" si="13"/>
        <v>0.23795801962126412</v>
      </c>
      <c r="C69" s="8">
        <f t="shared" si="14"/>
        <v>5.0311022574675208</v>
      </c>
      <c r="D69" s="8">
        <f t="shared" si="15"/>
        <v>4.9530770777453457</v>
      </c>
      <c r="E69" s="8">
        <f t="shared" si="16"/>
        <v>4.1026792291351217</v>
      </c>
      <c r="F69" s="8">
        <f t="shared" si="17"/>
        <v>0.92031138371180976</v>
      </c>
      <c r="G69" s="8">
        <f t="shared" si="18"/>
        <v>0.43287273556008826</v>
      </c>
      <c r="H69" s="7">
        <f t="shared" si="0"/>
        <v>-84391.050499608958</v>
      </c>
      <c r="I69" s="8">
        <f t="shared" si="1"/>
        <v>-4.0917708865488384E-5</v>
      </c>
      <c r="J69" s="7">
        <f t="shared" si="2"/>
        <v>85529.042460017736</v>
      </c>
      <c r="K69" s="8">
        <f t="shared" si="3"/>
        <v>4.1463073277496741E-5</v>
      </c>
      <c r="L69" s="8">
        <f t="shared" si="19"/>
        <v>0.40903880261939318</v>
      </c>
      <c r="M69" s="8">
        <f t="shared" si="20"/>
        <v>0.4090802656926707</v>
      </c>
      <c r="N69" s="17">
        <f t="shared" si="21"/>
        <v>5.0311688609623317</v>
      </c>
      <c r="O69" s="17">
        <f t="shared" si="22"/>
        <v>4.9529955660354119</v>
      </c>
      <c r="P69" s="17">
        <f t="shared" si="23"/>
        <v>4.1026415113240304</v>
      </c>
      <c r="Q69" s="17">
        <f t="shared" si="24"/>
        <v>0.92040747605377504</v>
      </c>
      <c r="R69" s="17">
        <f t="shared" si="25"/>
        <v>1.0000022079999999</v>
      </c>
      <c r="S69" s="17">
        <f t="shared" si="26"/>
        <v>0.99691081441333329</v>
      </c>
      <c r="T69" s="17">
        <f t="shared" si="27"/>
        <v>0.99953890545744395</v>
      </c>
      <c r="U69" s="17">
        <f t="shared" si="28"/>
        <v>-19611.954375697736</v>
      </c>
      <c r="V69" s="17">
        <f t="shared" si="29"/>
        <v>-19599.733281964811</v>
      </c>
      <c r="W69" s="17">
        <f t="shared" si="30"/>
        <v>-2.5323719177125459</v>
      </c>
      <c r="X69" s="17">
        <f t="shared" si="31"/>
        <v>10.258042999725905</v>
      </c>
      <c r="Y69" s="17">
        <f t="shared" si="32"/>
        <v>-19622.290761926532</v>
      </c>
      <c r="Z69" s="17">
        <f t="shared" si="33"/>
        <v>-19577.187521997574</v>
      </c>
      <c r="AA69" s="17">
        <f t="shared" si="34"/>
        <v>-1.3930240921312247</v>
      </c>
      <c r="AB69" s="17">
        <f t="shared" si="35"/>
        <v>10.46150673528664</v>
      </c>
      <c r="AC69" s="17">
        <f t="shared" si="36"/>
        <v>4.0077286278409181</v>
      </c>
      <c r="AD69" s="17">
        <f t="shared" si="4"/>
        <v>4.4404295081587204</v>
      </c>
      <c r="AE69" s="17">
        <f t="shared" si="5"/>
        <v>-7.0282286189823906E-2</v>
      </c>
      <c r="AF69" s="17">
        <f t="shared" si="37"/>
        <v>1.6644427111343115E-2</v>
      </c>
      <c r="AG69" s="17">
        <f t="shared" si="38"/>
        <v>4.5357328854870455E-3</v>
      </c>
      <c r="AH69" s="17">
        <f t="shared" si="39"/>
        <v>4.4082344334282002</v>
      </c>
      <c r="AI69" s="17">
        <f t="shared" si="40"/>
        <v>-0.46299572557752361</v>
      </c>
      <c r="AJ69" s="17">
        <f t="shared" si="41"/>
        <v>254.41787004284663</v>
      </c>
      <c r="AK69" s="17">
        <f t="shared" si="42"/>
        <v>-4.0268783732075013</v>
      </c>
      <c r="AL69" s="17">
        <f t="shared" si="43"/>
        <v>16.838222222222221</v>
      </c>
      <c r="AM69" s="17">
        <f t="shared" si="44"/>
        <v>-26.528055555555557</v>
      </c>
      <c r="AN69" s="17">
        <f t="shared" si="45"/>
        <v>0.95361111111111108</v>
      </c>
      <c r="AO69" s="17">
        <f t="shared" si="12"/>
        <v>16.513999999999999</v>
      </c>
      <c r="AP69" s="17">
        <f t="shared" si="7"/>
        <v>0.32422222222222175</v>
      </c>
      <c r="AQ69" s="18">
        <f t="shared" si="8"/>
        <v>0</v>
      </c>
      <c r="AR69" s="18">
        <f t="shared" si="9"/>
        <v>0</v>
      </c>
      <c r="AS69" s="4">
        <f t="shared" si="10"/>
        <v>1</v>
      </c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</row>
    <row r="70" spans="1:109" ht="17.25" hidden="1">
      <c r="A70" s="2">
        <f t="shared" si="11"/>
        <v>23</v>
      </c>
      <c r="B70" s="19">
        <f t="shared" si="13"/>
        <v>0.23795916039242543</v>
      </c>
      <c r="C70" s="8">
        <f t="shared" si="14"/>
        <v>5.0406033885364652</v>
      </c>
      <c r="D70" s="8">
        <f t="shared" si="15"/>
        <v>4.9537938264941728</v>
      </c>
      <c r="E70" s="8">
        <f t="shared" si="16"/>
        <v>4.1122998840449361</v>
      </c>
      <c r="F70" s="8">
        <f t="shared" si="17"/>
        <v>0.929176746605759</v>
      </c>
      <c r="G70" s="8">
        <f t="shared" si="18"/>
        <v>0.43283422653684744</v>
      </c>
      <c r="H70" s="7">
        <f t="shared" si="0"/>
        <v>-84354.671755647127</v>
      </c>
      <c r="I70" s="8">
        <f t="shared" si="1"/>
        <v>-4.0899840789306202E-5</v>
      </c>
      <c r="J70" s="7">
        <f t="shared" si="2"/>
        <v>85511.167541583534</v>
      </c>
      <c r="K70" s="8">
        <f t="shared" si="3"/>
        <v>4.1454353492117481E-5</v>
      </c>
      <c r="L70" s="8">
        <f t="shared" si="19"/>
        <v>0.40903880236051038</v>
      </c>
      <c r="M70" s="8">
        <f t="shared" si="20"/>
        <v>0.4090802567140025</v>
      </c>
      <c r="N70" s="17">
        <f t="shared" si="21"/>
        <v>5.0406699902081229</v>
      </c>
      <c r="O70" s="17">
        <f t="shared" si="22"/>
        <v>4.9537123147522948</v>
      </c>
      <c r="P70" s="17">
        <f t="shared" si="23"/>
        <v>4.112262182712378</v>
      </c>
      <c r="Q70" s="17">
        <f t="shared" si="24"/>
        <v>0.92927283757293111</v>
      </c>
      <c r="R70" s="17">
        <f t="shared" si="25"/>
        <v>1.0000022079999999</v>
      </c>
      <c r="S70" s="17">
        <f t="shared" si="26"/>
        <v>0.99691081156666672</v>
      </c>
      <c r="T70" s="17">
        <f t="shared" si="27"/>
        <v>0.99953890076733665</v>
      </c>
      <c r="U70" s="17">
        <f t="shared" si="28"/>
        <v>-19598.73158577066</v>
      </c>
      <c r="V70" s="17">
        <f t="shared" si="29"/>
        <v>-19589.544836665871</v>
      </c>
      <c r="W70" s="17">
        <f t="shared" si="30"/>
        <v>-2.4759056320967701</v>
      </c>
      <c r="X70" s="17">
        <f t="shared" si="31"/>
        <v>11.551120772256846</v>
      </c>
      <c r="Y70" s="17">
        <f t="shared" si="32"/>
        <v>-19610.656407423801</v>
      </c>
      <c r="Z70" s="17">
        <f t="shared" si="33"/>
        <v>-19567.278792380155</v>
      </c>
      <c r="AA70" s="17">
        <f t="shared" si="34"/>
        <v>-1.317526881301698</v>
      </c>
      <c r="AB70" s="17">
        <f t="shared" si="35"/>
        <v>11.74560679625302</v>
      </c>
      <c r="AC70" s="17">
        <f t="shared" si="36"/>
        <v>4.0173973381060746</v>
      </c>
      <c r="AD70" s="17">
        <f t="shared" si="4"/>
        <v>4.4500681059193932</v>
      </c>
      <c r="AE70" s="17">
        <f t="shared" si="5"/>
        <v>-7.0854865770862377E-2</v>
      </c>
      <c r="AF70" s="17">
        <f t="shared" si="37"/>
        <v>1.6650653175822386E-2</v>
      </c>
      <c r="AG70" s="17">
        <f t="shared" si="38"/>
        <v>4.5374295353757367E-3</v>
      </c>
      <c r="AH70" s="17">
        <f t="shared" si="39"/>
        <v>4.4188354493249848</v>
      </c>
      <c r="AI70" s="17">
        <f t="shared" si="40"/>
        <v>-0.46469313382841293</v>
      </c>
      <c r="AJ70" s="17">
        <f t="shared" si="41"/>
        <v>254.97012101495741</v>
      </c>
      <c r="AK70" s="17">
        <f t="shared" si="42"/>
        <v>-4.0596847666363747</v>
      </c>
      <c r="AL70" s="17">
        <f t="shared" si="43"/>
        <v>16.878722222222223</v>
      </c>
      <c r="AM70" s="17">
        <f t="shared" si="44"/>
        <v>-26.625277777777779</v>
      </c>
      <c r="AN70" s="17">
        <f t="shared" si="45"/>
        <v>0.9538888888888889</v>
      </c>
      <c r="AO70" s="17">
        <f t="shared" si="12"/>
        <v>16.513999999999999</v>
      </c>
      <c r="AP70" s="17">
        <f t="shared" si="7"/>
        <v>0.36472222222222328</v>
      </c>
      <c r="AQ70" s="18">
        <f t="shared" si="8"/>
        <v>0</v>
      </c>
      <c r="AR70" s="18">
        <f t="shared" si="9"/>
        <v>0</v>
      </c>
      <c r="AS70" s="4">
        <f t="shared" si="10"/>
        <v>1</v>
      </c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</row>
    <row r="71" spans="1:109" ht="17.25" hidden="1">
      <c r="A71" s="2">
        <f t="shared" si="11"/>
        <v>24</v>
      </c>
      <c r="B71" s="19">
        <f t="shared" si="13"/>
        <v>0.23796030116358674</v>
      </c>
      <c r="C71" s="8">
        <f t="shared" si="14"/>
        <v>5.0501045196054086</v>
      </c>
      <c r="D71" s="8">
        <f t="shared" ref="D71:D72" si="46">MOD((((-0.012*B71-0.577)*B71+(99*1296000+1292581.224)*B71)+1287099.804)/3600,360)*PI()/180</f>
        <v>4.9545105752429688</v>
      </c>
      <c r="E71" s="8">
        <f t="shared" ref="E71:E72" si="47">MOD((((0.011*B71-13.257)*B71+1739527263.137*B71)+335778.877)/3600,360)*PI()/180</f>
        <v>4.1219205389550035</v>
      </c>
      <c r="F71" s="8">
        <f t="shared" ref="F71:F72" si="48">MOD((((0.019*B71-6.891)*B71+1602961601.328*B71)+1072261.307)/3600,360)*PI()/180</f>
        <v>0.93804210949996225</v>
      </c>
      <c r="G71" s="8">
        <f t="shared" ref="G71:G72" si="49">MOD((((0.008*B71+7.455)*B71-6962890.539*B71)+450160.28)/3600,360)*PI()/180</f>
        <v>0.43279571751360746</v>
      </c>
      <c r="H71" s="7">
        <f t="shared" si="0"/>
        <v>-84317.617400877978</v>
      </c>
      <c r="I71" s="8">
        <f t="shared" si="1"/>
        <v>-4.0881649061548185E-5</v>
      </c>
      <c r="J71" s="7">
        <f t="shared" si="2"/>
        <v>85493.628891197644</v>
      </c>
      <c r="K71" s="8">
        <f t="shared" si="3"/>
        <v>4.1445799478495017E-5</v>
      </c>
      <c r="L71" s="8">
        <f t="shared" ref="L71:L72" si="50">(((((((((((245*B71/100+579)*B71/100+2787)*B71/100+712)*B71/100-3905)*B71/100-24967)*B71/100-5138)*B71/1007+199925)*B71/100-155)*B71/100-468093)*B71/100+158144.8)/360000+23)*PI()/180</f>
        <v>0.40903880210162769</v>
      </c>
      <c r="M71" s="8">
        <f t="shared" ref="M71:M72" si="51">L71+K71</f>
        <v>0.4090802479011062</v>
      </c>
      <c r="N71" s="17">
        <f t="shared" ref="N71:N72" si="52">MOD(2*PI()*(0.37489701+(0.00002565*B71+1325.55240982)*B71)+(2.94*SIN(2*PI()*(0.19833+0.05611*B71))+0.31*SIN(2*PI()*(0.27869+0.04508*B71))+14.27*SIN(2*PI()*(0.16827-0.36903*B71))+9.34*SIN(2*PI()*(0.34734-5.37261*B71))+1.12*SIN(2*PI()*(0.10498-5.37899*B71))+0.83*SIN(2*PI()*(0.42681-0.41855*B71)))*PI()/648000,2*PI())</f>
        <v>5.0501711194536867</v>
      </c>
      <c r="O71" s="17">
        <f t="shared" ref="O71:O72" si="53">MOD(2*PI()*(0.99312619+(-0.00000044*B71+99.99735956)*B71)+(-6.4*SIN(2*PI()*(0.19833+0.05611*B71))-1.89*SIN(2*PI()*(0.42681-0.41855*B71)))*PI()/648000,2*PI())</f>
        <v>4.9544290634691208</v>
      </c>
      <c r="P71" s="17">
        <f t="shared" ref="P71:P72" si="54">MOD(2*PI()*(0.25909118+(-0.00000892*B71+1342.2278298)*B71)+(0.21*SIN(2*PI()*(0.19833+0.05611*B71))+0.31*SIN(2*PI()*(0.27869+0.04508*B71))+14.27*SIN(2*PI()*(0.16827-0.36903*B71))-88.7*SIN(2*PI()*(0.34734-5.37261*B71))-15.3*SIN(2*PI()*(0.10498-5.37899*B71))+0.24*SIN(2*PI()*(0.42681-0.41855*B71))-1.86*SIN(2*PI()*(0.14943-5.37511*B71)))*PI()/648000,2*PI())</f>
        <v>4.1218828541007255</v>
      </c>
      <c r="Q71" s="17">
        <f t="shared" ref="Q71:Q72" si="55">MOD(2*PI()*(0.82736186+(-0.00000397*B71+1236.85308708)*B71)+(7.24*SIN(2*PI()*(0.19833+0.05611*B71))+0.31*SIN(2*PI()*(0.27869+0.04508*B71))+14.27*SIN(2*PI()*(0.16827-0.36903*B71))+7.26*SIN(2*PI()*(0.34734-5.37261*B71))+0.28*SIN(2*PI()*(0.10498-5.37899*B71))+2.13*SIN(2*PI()*(0.42681-0.41855*B71)))*PI()/648000,2*PI())</f>
        <v>0.93813819909208718</v>
      </c>
      <c r="R71" s="17">
        <f t="shared" si="25"/>
        <v>1.0000022079999999</v>
      </c>
      <c r="S71" s="17">
        <f t="shared" ref="S71:S72" si="56">1-0.002495388*(B71+1)</f>
        <v>0.99691080872000004</v>
      </c>
      <c r="T71" s="17">
        <f t="shared" ref="T71:T72" si="57">1.000002708+139.978*((SIN(2*PI()*(0.59734-5.37261*B71))*-3332+SIN(2*PI()*(0.35498-5.37899*B71))*-539+SIN(2*PI()*(0.39943-5.37511*B71))*-64)/1000000000)</f>
        <v>0.99953889607791724</v>
      </c>
      <c r="U71" s="17">
        <f t="shared" ref="U71:U72" si="58">13.902*SIN(4*Q71)+0.403*SIN(3*Q71)+2369.912*SIN(2*Q71)-125.154*SIN(Q71)+(1.979*SIN(N71+4*Q71)+191.953*SIN(N71+2*Q71)-8.466*SIN(N71+Q71)+22639.5*SIN(N71)+18.609*SIN(N71-Q71)-4586.465*SIN(N71-2*Q71)+3.215*SIN(N71-3*Q71)-38.428*SIN(N71-4*Q71)-0.393*SIN(N71-6*Q71))*R71+(-0.289*SIN(O71+4*Q71)-24.42*SIN(O71+2*Q71)+18.023*SIN(O71+Q71)-668.146*SIN(O71)+0.56*SIN(O71-Q71)-165.145*SIN(O71-2*Q71)-1.877*SIN(O71-4*Q71))*S71+(0.213*SIN(2*N71+4*Q71)+14.387*SIN(2*N71+2*Q71)-0.586*SIN(2*N71+Q71)+769.016*SIN(2*N71)+1.75*SIN(2*N71-Q71)-211.656*SIN(2*N71-2*Q71)+1.225*SIN(2*N71-3*Q71)-30.773*SIN(2*N71-4*Q71)-0.57*SIN(2*N71-6*Q71))*R71*R71+(-2.921*SIN(N71+O71+2*Q71)+1.267*SIN(N71+O71+Q71)-109.673*SIN(N71+O71)-205.962*SIN(N71+O71-2*Q71)+0.233*SIN(N71+O71-3*Q71)-4.391*SIN(N71+O71-4*Q71)+0.283*SIN(N71-O71+4*Q71)+14.577*SIN(N71-O71+2*Q71)+147.687*SIN(N71-O71)-1.089*SIN(N71-O71-Q71)+28.475*SIN(N71-O71-2*Q71)-0.276*SIN(N71-O71-3*Q71)+0.636*SIN(N71-O71-4*Q71))*R71*S71+(-0.189*SIN(2*O71+2*Q71)-7.486*SIN(2*O71)-8.096*SIN(2*O71-2*Q71))*S71*S71+(-5.741*SIN(2*P71+2*Q71)+0.255*SIN(2*P71+Q71)-411.608*SIN(2*P71)+0.584*SIN(2*P71-Q71)-55.173*SIN(2*P71-2*Q71)+0.254*SIN(2*P71-3*Q71)+0.025*SIN(2*P71-4*Q71))*T71*T71</f>
        <v>-19584.021569339515</v>
      </c>
      <c r="V71" s="17">
        <f t="shared" ref="V71:V72" si="59">14.06*SIN(4*Q71)-4.01*SIN(3*Q71)+2373.36*SIN(2*Q71)-112.79*SIN(Q71)+(6.98*SIN(N71+4*Q71)+192.72*SIN(N71+2*Q71)-13.51*SIN(N71+Q71)+22609.07*SIN(N71)+3.59*SIN(N71-Q71)-4578.13*SIN(N71-2*Q71)+5.44*SIN(N71-3*Q71)-38.64*SIN(N71-4*Q71)-1.43*SIN(N71-6*Q71))*R71+(-1.59*SIN(O71+4*Q71)-25.1*SIN(O71+2*Q71)+17.93*SIN(O71+Q71)-126.98*SIN(O71)+0.32*SIN(O71-Q71)-165.06*SIN(O71-2*Q71)-6.46*SIN(O71-4*Q71))*S71+(1.02*SIN(2*N71+4*Q71)+14.78*SIN(2*N71+2*Q71)-1.2*SIN(2*N71+Q71)+767.96*SIN(2*N71)+2.01*SIN(2*N71-Q71)-152.53*SIN(2*N71-2*Q71)+0.91*SIN(2*N71-3*Q71)-34.07*SIN(2*N71-4*Q71)-1.4*SIN(2*N71-6*Q71))*R71*R71+(-11.75*SIN(N71+O71+2*Q71)+1.52*SIN(N71+O71+Q71)-115.18*SIN(N71+O71)-182.36*SIN(N71+O71-2*Q71)+0.36*SIN(N71+O71-3*Q71)-9.66*SIN(N71+O71-4*Q71)+1.53*SIN(N71-O71+4*Q71)+31.7*SIN(N71-O71+2*Q71)+138.76*SIN(N71-O71)+0.55*SIN(N71-O71-Q71)+23.59*SIN(N71-O71-2*Q71)-0.38*SIN(N71-O71-3*Q71)+2.27*SIN(N71-O71-4*Q71))*R71*S71+(-1.68*SIN(2*O71+2*Q71)-0.66*SIN(2*O71)-16.35*SIN(2*O71-2*Q71))*S71*S71+(-0.04*SIN(2*P71+2*Q71)-0.2*SIN(2*P71)+0.84*SIN(2*P71-Q71)-52.14*SIN(2*P71-2*Q71)+0.25*SIN(2*P71-3*Q71)-1.67*SIN(2*P71-4*Q71))*T71*T71</f>
        <v>-19578.030054518615</v>
      </c>
      <c r="W71" s="17">
        <f t="shared" ref="W71:W72" si="60">-0.001*COS(4*Q71)+0.394*COS(3*Q71)+0.601*COS(2*Q71)-0.725*COS(Q71)+(-0.445*COS(N71+4*Q71)+0.029*COS(N71+2*Q71)+0.455*COS(N71+Q71)+0.079*COS(N71)-0.094*COS(N71-Q71)-0.077*COS(N71-2*Q71)+0.192*COS(N71-3*Q71)+0.001*COS(N71-4*Q71)-0.092*COS(N71-6*Q71))*R71+(0.123*COS(O71+4*Q71)+0.04*COS(O71+2*Q71)+0.007*COS(O71+Q71)-1.302*COS(O71)-0.001*COS(O71-Q71)+0.054*COS(O71-2*Q71)-0.416*COS(O71-4*Q71))*S71+(-0.074*COS(2*N71+4*Q71)-0.017*COS(2*N71+2*Q71)+0.054*COS(2*N71+Q71)+0.107*COS(2*N71)-0.018*COS(2*N71-Q71)+5.679*COS(2*N71-2*Q71)-0.03*COS(2*N71-3*Q71)-0.308*COS(2*N71-4*Q71)-0.074*COS(2*N71-6*Q71))*R71*R71+(0.787*COS(N71+O71+2*Q71)-0.022*COS(N71+O71+Q71)+0.461*COS(N71+O71)+2.056*COS(N71+O71-2*Q71)+0.012*COS(N71+O71-3*Q71)-0.471*COS(N71+O71-4*Q71)-0.111*COS(N71-O71+4*Q71)-1.54*COS(N71-O71+2*Q71)+0.679*COS(N71-O71)+0.021*COS(N71-O71-Q71)-0.443*COS(N71-O71-2*Q71)-0.006*COS(N71-O71-3*Q71)+0.146*COS(N71-O71-4*Q71))*R71*S71+(0.131*COS(2*O71+2*Q71)-0.037*COS(2*O71)-0.74*COS(2*O71-2*Q71))*S71*S71</f>
        <v>-2.4200093253158093</v>
      </c>
      <c r="X71" s="17">
        <f t="shared" ref="X71:X72" si="61">0.2607*COS(4*Q71)+0.0023*COS(3*Q71)+28.2333*COS(2*Q71)-0.9781*COS(Q71)+(0.0433*COS(N71+4*Q71)+3.0861*COS(N71+2*Q71)-0.1093*COS(N71+Q71)+186.5398*COS(N71)+0.0118*COS(N71-Q71)+34.3117*COS(N71-2*Q71)-0.0386*COS(N71-3*Q71)+0.6008*COS(N71-4*Q71)+0.0086*COS(N71-6*Q71))*R71+(-0.0053*COS(O71+4*Q71)-0.3*COS(O71+2*Q71)+0.1494*COS(O71+Q71)-0.3997*COS(O71)-0.0037*COS(O71-Q71)+1.9178*COS(O71-2*Q71)+0.0339*COS(O71-4*Q71))*S71+(0.0054*COS(2*N71+4*Q71)+0.2833*COS(2*N71+2*Q71)-0.01*COS(2*N71+Q71)+10.1657*COS(2*N71)+0.0155*COS(2*N71-Q71)-0.3039*COS(2*N71-2*Q71)-0.0088*COS(2*N71-3*Q71)+0.3722*COS(2*N71-4*Q71)+0.0109*COS(2*N71-6*Q71))*R71*R71+(-0.0484*COS(N71+O71+2*Q71)+0.0164*COS(N71+O71+Q71)-0.949*COS(N71+O71)+1.4437*COS(N71+O71-2*Q71)-0.0025*COS(N71+O71-3*Q71)+0.0673*COS(N71+O71-4*Q71)+0.006*COS(N71-O71+4*Q71)+0.2302*COS(N71-O71+2*Q71)+1.1528*COS(N71-O71)-0.2257*COS(N71-O71-2*Q71)-0.0036*COS(N71-O71-3*Q71)-0.0102*COS(N71-O71-4*Q71))*R71*S71+(-0.0028*COS(2*O71+2*Q71)-0.0086*COS(2*O71)+0.0918*COS(2*O71-2*Q71))*S71*S71+(-0.0009*COS(2*P71+2*Q71)-0.0124*COS(2*P71)+0.0071*COS(2*P71-Q71)-0.1052*COS(2*P71-2*Q71)-0.0017*COS(2*P71-3*Q71)+0.0031*COS(2*P71-4*Q71))*T71*T71</f>
        <v>12.84505205600848</v>
      </c>
      <c r="Y71" s="17">
        <f t="shared" ref="Y71:Y72" si="62">U71+(1.06*SIN(3*N71+2*Q71)+36.124*SIN(3*N71)-13.193*SIN(3*N71-2*Q71)-1.187*SIN(3*N71-4*Q71)-0.293*SIN(3*N71-6*Q71))*R71*R71*R71+(-0.29*SIN(2*N71+O71+2*Q71)-7.649*SIN(2*N71+O71)-8.627*SIN(2*N71+O71-2*Q71)-2.74*SIN(2*N71+O71-4*Q71)+1.181*SIN(2*N71-O71+2*Q71)+9.703*SIN(2*N71-O71)-0.352*SIN(2*N71-O71-Q71)-2.494*SIN(2*N71-O71-2*Q71)+0.36*SIN(2*N71-O71-4*Q71))*R71*R71*S71+(-1.167*SIN(N71+2*O71)-7.412*SIN(N71+2*O71-2*Q71)-0.311*SIN(N71+2*O71-4*Q71)+0.757*SIN(N71-2*O71+2*Q71)+2.58*SIN(N71-2*O71)+2.533*SIN(N71-2*O71-2*Q71))*R71*S71*S71-0.344*SIN(3*O71-2*Q71)*S71*S71*S71+(-0.992*SIN(N71+2*P71+2*Q71)-45.099*SIN(N71+2*P71)-0.179*SIN(N71+2*P71-2*Q71)-0.301*SIN(N71+2*P71-4*Q71)-6.382*SIN(N71-2*P71+2*Q71)+39.528*SIN(N71-2*P71)+9.366*SIN(N71-2*P71-2*Q71)+0.202*SIN(N71-2*P71-4*Q71))*R71*T71*T71+(0.415*SIN(O71+2*P71)-2.152*SIN(O71+2*P71-2*Q71)-1.44*SIN(O71-2*P71+2*Q71)+0.384*SIN(O71-2*P71-2*Q71))*S71*T71*T71+(1.938*SIN(4*N71)-0.952*SIN(4*N71-2*Q71))*R71*R71*R71*R71+(-0.551*SIN(3*N71+O71)-0.482*SIN(3*N71+O71-2*Q71)+0.681*SIN(3*N71-O71))*R71*R71*R71*S71+(-0.297*SIN(2*N71+2*O71-2*Q71)+0.254*SIN(2*N71-2*O71-2*Q71))*R71*R71*S71*S71-0.25*SIN(N71+3*O71-2*Q71)*R71*S71*S71*S71+(-3.996*SIN(2*N71+2*P71)+0.557*SIN(2*N71+2*P71-2*Q71)-0.459*SIN(2*N71-2*P71+2*Q71)-1.298*SIN(2*N71-2*P71)+0.538*SIN(2*N71-2*P71-2*Q71))*R71*R71*T71*T71+(0.263*SIN(N71+O71+2*P71)+0.426*SIN(N71+O71-2*P71-2*Q71)-0.304*SIN(N71-O71+2*P71)-0.372*SIN(N71-O71-2*P71+2*Q71))*R71*S71*T71*T71+0.418*SIN(4*P71)*T71*T71*T71*T71-0.33*SIN(3*N71+2*P71)*R71*R71*R71*T71*T71</f>
        <v>-19597.532664650334</v>
      </c>
      <c r="Z71" s="17">
        <f t="shared" ref="Z71:Z72" si="63">V71+(2.96*SIN(3*N71+2*Q71)+50.64*SIN(3*N71)-16.4*SIN(3*N71-2*Q71)-0.74*SIN(3*N71-4*Q71)-0.31*SIN(3*N71-6*Q71))*R71*R71*R71+(-1.45*SIN(2*N71+O71+2*Q71)-10.56*SIN(2*N71+O71)-7.59*SIN(2*N71+O71-2*Q71)-2.54*SIN(2*N71+O71-4*Q71)+3.32*SIN(2*N71-O71+2*Q71)+11.67*SIN(2*N71-O71)-0.37*SIN(2*N71-O71-Q71)-1.17*SIN(2*N71-O71-2*Q71)+0.2*SIN(2*N71-O71-4*Q71))*R71*R71*S71+(-1.25*SIN(N71+2*O71)-6.12*SIN(N71+2*O71-2*Q71)-0.65*SIN(N71+2*O71-4*Q71)+1.82*SIN(N71-2*O71+2*Q71)+2.32*SIN(N71-2*O71)+2.4*SIN(N71-2*O71-2*Q71))*R71*S71*S71-0.57*SIN(3*O71-2*Q71)*S71*S71*S71+(-0.02*SIN(N71+2*P71+2*Q71)-0.02*SIN(N71+2*P71)-9.52*SIN(N71+2*P71-2*Q71)-0.33*SIN(N71+2*P71-4*Q71)-3.37*SIN(N71-2*P71+2*Q71)+85.13*SIN(N71-2*P71)+0.71*SIN(N71-2*P71-2*Q71)+0.02*SIN(N71-2*P71-4*Q71))*R71*T71*T71+(0.1*SIN(O71+2*P71)-2.26*SIN(O71+2*P71-2*Q71)-1.3*SIN(O71-2*P71+2*Q71)-0.04*SIN(O71-2*P71-2*Q71))*S71*T71*T71+(3.6*SIN(4*N71)-1.58*SIN(4*N71-2*Q71))*R71*R71*R71*R71+(-0.94*SIN(3*N71+O71)-0.57*SIN(3*N71+O71-2*Q71)+0.96*SIN(3*N71-O71))*R71*R71*R71*S71+(-0.27*SIN(2*N71+2*O71-2*Q71)+0.21*SIN(2*N71-2*O71-2*Q71))*R71*R71*S71*S71-0.22*SIN(N71+3*O71-2*Q71)*R71*S71*S71*S71+(-0.75*SIN(2*N71+2*P71-2*Q71)-0.38*SIN(2*N71-2*P71+2*Q71)+0.74*SIN(2*N71-2*P71)+1.14*SIN(2*N71-2*P71-2*Q71))*R71*R71*T71*T71+(0.02*SIN(N71+O71+2*P71)+0.07*SIN(N71+O71-2*P71-2*Q71)+0.03*SIN(N71-O71+2*P71)-0.19*SIN(N71-O71-2*P71+2*Q71))*R71*S71*T71*T71-0.04*SIN(3*N71+2*P71)*R71*R71*R71*T71*T71</f>
        <v>-19556.065017063898</v>
      </c>
      <c r="AA71" s="17">
        <f t="shared" ref="AA71:AA72" si="64">W71+(-0.166*COS(3*N71+2*Q71)-1.3*COS(3*N71)+0.258*COS(3*N71-2*Q71)+0.042*COS(3*N71-4*Q71)-0.002*COS(3*N71-6*Q71))*R71*R71*R71+(0.116*COS(2*N71+O71+2*Q71)+0.259*COS(2*N71+O71)+0.078*COS(2*N71+O71-2*Q71)+0.022*COS(2*N71+O71-4*Q71)-0.212*COS(2*N71-O71+2*Q71)-0.151*COS(2*N71-O71)+0.001*COS(2*N71-O71-Q71)-0.003*COS(2*N71-O71-2*Q71)-0.012*COS(2*N71-O71-4*Q71))*R71*R71*S71+(0.008*COS(N71+2*O71)+0.117*COS(N71+2*O71-2*Q71)-0.032*COS(N71+2*O71-4*Q71)-0.105*COS(N71-2*O71+2*Q71)+0.027*COS(N71-2*O71)-0.014*COS(N71-2*O71-2*Q71))*R71*S71*S71-0.025*COS(3*O71-2*Q71)*S71*S71*S71+(-0.145*COS(4*N71)+0.052*COS(4*N71-2*Q71))*R71*R71*R71*R71+(0.032*COS(3*N71+O71)+0.005*COS(3*N71+O71-2*Q71)-0.026*COS(3*N71-O71))*R71*R71*R71*S71+(0.002*COS(2*N71+2*O71-2*Q71)-0.003*COS(2*N71-2*O71-2*Q71))*R71*R71*S71*S71+0.004*COS(N71+3*O71-2*Q71)*R71*S71*S71*S71</f>
        <v>-1.2432927523707473</v>
      </c>
      <c r="AB71" s="17">
        <f t="shared" ref="AB71:AB72" si="65">X71+(0.0243*COS(3*N71+2*Q71)+0.6215*COS(3*N71)-0.1187*COS(3*N71-2*Q71)+0.0074*COS(3*N71-4*Q71)+0.0046*COS(3*N71-6*Q71))*R71*R71*R71+(-0.0051*COS(2*N71+O71+2*Q71)-0.1038*COS(2*N71+O71)-0.0192*COS(2*N71+O71-2*Q71)+0.0324*COS(2*N71+O71-4*Q71)+0.0213*COS(2*N71-O71+2*Q71)+0.1268*COS(2*N71-O71)-0.0028*COS(2*N71-O71-Q71)-0.0017*COS(2*N71-O71-2*Q71)-0.0043*COS(2*N71-O71-4*Q71))*R71*R71*S71+(-0.0106*COS(N71+2*O71)+0.0484*COS(N71+2*O71-2*Q71)+0.0044*COS(N71+2*O71-4*Q71)+0.0112*COS(N71-2*O71+2*Q71)+0.0196*COS(N71-2*O71)-0.0212*COS(N71-2*O71-2*Q71))*R71*S71*S71+0.0036*COS(3*O71-2*Q71)*S71*S71*S71+(-0.001*COS(N71+2*P71)-0.0833*COS(N71+2*P71-2*Q71)+0.0014*COS(N71+2*P71-4*Q71)-0.0481*COS(N71-2*P71+2*Q71)-0.7136*COS(N71-2*P71)-0.0112*COS(N71-2*P71-2*Q71))*R71*T71*T71+(0.0013*COS(O71+2*P71)-0.0066*COS(O71+2*P71-2*Q71)+0.0014*COS(O71-2*P71+2*Q71))*S71*T71*T71+(0.0401*COS(4*N71)-0.013*COS(4*N71-2*Q71))*R71*R71*R71*R71+(-0.0097*COS(3*N71+O71)-0.0045*COS(3*N71+O71-2*Q71)+0.0115*COS(3*N71-O71))*R71*R71*R71*S71-0.0009*COS(2*N71+2*O71-2*Q71)*R71*R71*S71*S71+0.0014*COS(N71+3*O71-2*Q71)*R71*S71*S71*S71+(0.0004*COS(2*N71+2*P71)-0.009*COS(2*N71+2*P71-2*Q71)-0.0053*COS(2*N71-2*P71+2*Q71)+0.0004*COS(2*N71-2*P71)-0.0141*COS(2*N71-2*P71-2*Q71))*R71*R71*T71*T71+(-0.0006*COS(N71+O71-2*P71-2*Q71)+0.0003*COS(N71-O71+2*P71)-0.0027*COS(N71-O71-2*P71+2*Q71))*R71*S71*T71*T71</f>
        <v>13.030879942069024</v>
      </c>
      <c r="AC71" s="17">
        <f t="shared" ref="AC71:AC72" si="66">(P71*180/PI()+Z71/3600)*PI()/180</f>
        <v>4.0270723754113238</v>
      </c>
      <c r="AD71" s="17">
        <f t="shared" si="4"/>
        <v>4.4597139245351594</v>
      </c>
      <c r="AE71" s="17">
        <f t="shared" si="5"/>
        <v>-7.1421259501471754E-2</v>
      </c>
      <c r="AF71" s="17">
        <f t="shared" ref="AF71:AF72" si="67">ASIN(0.999953253*(3422.7+AB71)*PI()/648000)</f>
        <v>1.6656884928746174E-2</v>
      </c>
      <c r="AG71" s="17">
        <f t="shared" si="38"/>
        <v>4.5391277354087907E-3</v>
      </c>
      <c r="AH71" s="17">
        <f t="shared" ref="AH71:AH72" si="68">MOD(ATAN2(COS(AD71)*COS(AE71),COS(M71)*SIN(AD71)*COS(AE71)-SIN(M71)*SIN(AE71)),2*PI())</f>
        <v>4.429461383675128</v>
      </c>
      <c r="AI71" s="17">
        <f t="shared" ref="AI71:AI72" si="69">ASIN(SIN(M71)*SIN(AD71)*COS(AE71)+COS(M71)*SIN(AE71))</f>
        <v>-0.46634653165652623</v>
      </c>
      <c r="AJ71" s="17">
        <f t="shared" ref="AJ71:AJ72" si="70">AD71*180/PI()</f>
        <v>255.52278571158956</v>
      </c>
      <c r="AK71" s="17">
        <f t="shared" ref="AK71:AK72" si="71">AE71*180/PI()</f>
        <v>-4.0921367369429618</v>
      </c>
      <c r="AL71" s="17">
        <f t="shared" ref="AL71:AL72" si="72">INT(AH71*432000/PI()+0.6)/36000</f>
        <v>16.919305555555557</v>
      </c>
      <c r="AM71" s="17">
        <f t="shared" ref="AM71:AM72" si="73">INT(AI71*648000/PI()-0.5)/3600</f>
        <v>-26.72</v>
      </c>
      <c r="AN71" s="17">
        <f t="shared" ref="AN71:AN72" si="74">INT(AF71*648000/PI()+0.5)/3600</f>
        <v>0.95444444444444443</v>
      </c>
      <c r="AO71" s="17">
        <f t="shared" si="12"/>
        <v>16.513999999999999</v>
      </c>
      <c r="AP71" s="17">
        <f t="shared" si="7"/>
        <v>0.40530555555555736</v>
      </c>
      <c r="AQ71" s="18">
        <f t="shared" si="8"/>
        <v>0</v>
      </c>
      <c r="AR71" s="18">
        <f t="shared" si="9"/>
        <v>0</v>
      </c>
      <c r="AS71" s="4">
        <f t="shared" si="10"/>
        <v>1</v>
      </c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</row>
    <row r="72" spans="1:109" ht="17.25" hidden="1">
      <c r="A72" s="2">
        <f t="shared" si="11"/>
        <v>25</v>
      </c>
      <c r="B72" s="19">
        <f t="shared" si="13"/>
        <v>0.23796144193474805</v>
      </c>
      <c r="C72" s="8">
        <f t="shared" si="14"/>
        <v>5.059605650674607</v>
      </c>
      <c r="D72" s="8">
        <f t="shared" si="46"/>
        <v>4.9552273239917639</v>
      </c>
      <c r="E72" s="8">
        <f t="shared" si="47"/>
        <v>4.1315411938650719</v>
      </c>
      <c r="F72" s="8">
        <f t="shared" si="48"/>
        <v>0.94690747239365747</v>
      </c>
      <c r="G72" s="8">
        <f t="shared" si="49"/>
        <v>0.43275720849036758</v>
      </c>
      <c r="H72" s="7">
        <f t="shared" si="0"/>
        <v>-84279.901052985835</v>
      </c>
      <c r="I72" s="8">
        <f t="shared" si="1"/>
        <v>-4.0863140564457045E-5</v>
      </c>
      <c r="J72" s="7">
        <f t="shared" si="2"/>
        <v>85476.432480654985</v>
      </c>
      <c r="K72" s="8">
        <f t="shared" si="3"/>
        <v>4.1437414072745354E-5</v>
      </c>
      <c r="L72" s="8">
        <f t="shared" si="50"/>
        <v>0.40903880184274499</v>
      </c>
      <c r="M72" s="8">
        <f t="shared" si="51"/>
        <v>0.40908023925681775</v>
      </c>
      <c r="N72" s="17">
        <f t="shared" si="52"/>
        <v>5.0596722486992505</v>
      </c>
      <c r="O72" s="17">
        <f t="shared" si="53"/>
        <v>4.9551458121859469</v>
      </c>
      <c r="P72" s="17">
        <f t="shared" si="54"/>
        <v>4.1315035254888457</v>
      </c>
      <c r="Q72" s="17">
        <f t="shared" si="55"/>
        <v>0.94700356061169799</v>
      </c>
      <c r="R72" s="17">
        <f t="shared" si="25"/>
        <v>1.0000022079999999</v>
      </c>
      <c r="S72" s="17">
        <f t="shared" si="56"/>
        <v>0.99691080587333336</v>
      </c>
      <c r="T72" s="17">
        <f t="shared" si="57"/>
        <v>0.99953889138918572</v>
      </c>
      <c r="U72" s="17">
        <f t="shared" si="58"/>
        <v>-19567.823909029972</v>
      </c>
      <c r="V72" s="17">
        <f t="shared" si="59"/>
        <v>-19565.186903408576</v>
      </c>
      <c r="W72" s="17">
        <f t="shared" si="60"/>
        <v>-2.3647340508604797</v>
      </c>
      <c r="X72" s="17">
        <f t="shared" si="61"/>
        <v>14.139810435938536</v>
      </c>
      <c r="Y72" s="17">
        <f t="shared" si="62"/>
        <v>-19582.917498521208</v>
      </c>
      <c r="Z72" s="17">
        <f t="shared" si="63"/>
        <v>-19543.543372588567</v>
      </c>
      <c r="AA72" s="17">
        <f t="shared" si="64"/>
        <v>-1.1703900138402712</v>
      </c>
      <c r="AB72" s="17">
        <f t="shared" si="65"/>
        <v>14.317307243609024</v>
      </c>
      <c r="AC72" s="17">
        <f t="shared" si="66"/>
        <v>4.0367537534449607</v>
      </c>
      <c r="AD72" s="17">
        <f t="shared" si="4"/>
        <v>4.4693669738631074</v>
      </c>
      <c r="AE72" s="17">
        <f t="shared" si="5"/>
        <v>-7.1981401515593221E-2</v>
      </c>
      <c r="AF72" s="17">
        <f t="shared" si="67"/>
        <v>1.6663122278337036E-2</v>
      </c>
      <c r="AG72" s="17">
        <f t="shared" si="38"/>
        <v>4.5408274605761578E-3</v>
      </c>
      <c r="AH72" s="17">
        <f t="shared" si="68"/>
        <v>4.4401119026443041</v>
      </c>
      <c r="AI72" s="17">
        <f t="shared" si="69"/>
        <v>-0.46795556818658157</v>
      </c>
      <c r="AJ72" s="17">
        <f t="shared" si="70"/>
        <v>256.0758646975126</v>
      </c>
      <c r="AK72" s="17">
        <f t="shared" si="71"/>
        <v>-4.1242305102800794</v>
      </c>
      <c r="AL72" s="17">
        <f t="shared" si="72"/>
        <v>16.959972222222223</v>
      </c>
      <c r="AM72" s="17">
        <f t="shared" si="73"/>
        <v>-26.812222222222221</v>
      </c>
      <c r="AN72" s="17">
        <f t="shared" si="74"/>
        <v>0.95472222222222225</v>
      </c>
      <c r="AO72" s="17">
        <f t="shared" si="12"/>
        <v>16.513999999999999</v>
      </c>
      <c r="AP72" s="17">
        <f t="shared" si="7"/>
        <v>0.44597222222222399</v>
      </c>
      <c r="AQ72" s="18">
        <f t="shared" si="8"/>
        <v>0</v>
      </c>
      <c r="AR72" s="18">
        <f t="shared" si="9"/>
        <v>0</v>
      </c>
      <c r="AS72" s="4">
        <f t="shared" si="10"/>
        <v>1</v>
      </c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</row>
    <row r="73" spans="1:109" ht="17.25" hidden="1">
      <c r="A73" s="2">
        <f t="shared" ref="A73" si="75">A72+1</f>
        <v>26</v>
      </c>
      <c r="B73" s="19">
        <f t="shared" ref="B73" si="76">B72+1/876600</f>
        <v>0.23796258270590936</v>
      </c>
      <c r="C73" s="8">
        <f t="shared" si="14"/>
        <v>5.0691067817438045</v>
      </c>
      <c r="D73" s="8">
        <f t="shared" ref="D73" si="77">MOD((((-0.012*B73-0.577)*B73+(99*1296000+1292581.224)*B73)+1287099.804)/3600,360)*PI()/180</f>
        <v>4.9559440727405599</v>
      </c>
      <c r="E73" s="8">
        <f t="shared" ref="E73" si="78">MOD((((0.011*B73-13.257)*B73+1739527263.137*B73)+335778.877)/3600,360)*PI()/180</f>
        <v>4.1411618487748854</v>
      </c>
      <c r="F73" s="8">
        <f t="shared" ref="F73" si="79">MOD((((0.019*B73-6.891)*B73+1602961601.328*B73)+1072261.307)/3600,360)*PI()/180</f>
        <v>0.9557728352876067</v>
      </c>
      <c r="G73" s="8">
        <f t="shared" ref="G73" si="80">MOD((((0.008*B73+7.455)*B73-6962890.539*B73)+450160.28)/3600,360)*PI()/180</f>
        <v>0.43271869946712571</v>
      </c>
      <c r="H73" s="7">
        <f t="shared" si="0"/>
        <v>-84241.536631600131</v>
      </c>
      <c r="I73" s="8">
        <f t="shared" si="1"/>
        <v>-4.0844322318941425E-5</v>
      </c>
      <c r="J73" s="7">
        <f t="shared" si="2"/>
        <v>85459.584183208528</v>
      </c>
      <c r="K73" s="8">
        <f t="shared" si="3"/>
        <v>4.1429200057900068E-5</v>
      </c>
      <c r="L73" s="8">
        <f t="shared" ref="L73" si="81">(((((((((((245*B73/100+579)*B73/100+2787)*B73/100+712)*B73/100-3905)*B73/100-24967)*B73/100-5138)*B73/1007+199925)*B73/100-155)*B73/100-468093)*B73/100+158144.8)/360000+23)*PI()/180</f>
        <v>0.40903880158386224</v>
      </c>
      <c r="M73" s="8">
        <f t="shared" ref="M73" si="82">L73+K73</f>
        <v>0.40908023078392014</v>
      </c>
      <c r="N73" s="17">
        <f t="shared" ref="N73" si="83">MOD(2*PI()*(0.37489701+(0.00002565*B73+1325.55240982)*B73)+(2.94*SIN(2*PI()*(0.19833+0.05611*B73))+0.31*SIN(2*PI()*(0.27869+0.04508*B73))+14.27*SIN(2*PI()*(0.16827-0.36903*B73))+9.34*SIN(2*PI()*(0.34734-5.37261*B73))+1.12*SIN(2*PI()*(0.10498-5.37899*B73))+0.83*SIN(2*PI()*(0.42681-0.41855*B73)))*PI()/648000,2*PI())</f>
        <v>5.0691733779448143</v>
      </c>
      <c r="O73" s="17">
        <f t="shared" ref="O73" si="84">MOD(2*PI()*(0.99312619+(-0.00000044*B73+99.99735956)*B73)+(-6.4*SIN(2*PI()*(0.19833+0.05611*B73))-1.89*SIN(2*PI()*(0.42681-0.41855*B73)))*PI()/648000,2*PI())</f>
        <v>4.9558625609027729</v>
      </c>
      <c r="P73" s="17">
        <f t="shared" ref="P73" si="85">MOD(2*PI()*(0.25909118+(-0.00000892*B73+1342.2278298)*B73)+(0.21*SIN(2*PI()*(0.19833+0.05611*B73))+0.31*SIN(2*PI()*(0.27869+0.04508*B73))+14.27*SIN(2*PI()*(0.16827-0.36903*B73))-88.7*SIN(2*PI()*(0.34734-5.37261*B73))-15.3*SIN(2*PI()*(0.10498-5.37899*B73))+0.24*SIN(2*PI()*(0.42681-0.41855*B73))-1.86*SIN(2*PI()*(0.14943-5.37511*B73)))*PI()/648000,2*PI())</f>
        <v>4.1411241968774206</v>
      </c>
      <c r="Q73" s="17">
        <f t="shared" ref="Q73" si="86">MOD(2*PI()*(0.82736186+(-0.00000397*B73+1236.85308708)*B73)+(7.24*SIN(2*PI()*(0.19833+0.05611*B73))+0.31*SIN(2*PI()*(0.27869+0.04508*B73))+14.27*SIN(2*PI()*(0.16827-0.36903*B73))+7.26*SIN(2*PI()*(0.34734-5.37261*B73))+0.28*SIN(2*PI()*(0.10498-5.37899*B73))+2.13*SIN(2*PI()*(0.42681-0.41855*B73)))*PI()/648000,2*PI())</f>
        <v>0.95586892213085406</v>
      </c>
      <c r="R73" s="17">
        <f t="shared" si="25"/>
        <v>1.0000022079999999</v>
      </c>
      <c r="S73" s="17">
        <f t="shared" ref="S73" si="87">1-0.002495388*(B73+1)</f>
        <v>0.99691080302666668</v>
      </c>
      <c r="T73" s="17">
        <f t="shared" ref="T73" si="88">1.000002708+139.978*((SIN(2*PI()*(0.59734-5.37261*B73))*-3332+SIN(2*PI()*(0.35498-5.37899*B73))*-539+SIN(2*PI()*(0.39943-5.37511*B73))*-64)/1000000000)</f>
        <v>0.99953888670114222</v>
      </c>
      <c r="U73" s="17">
        <f t="shared" ref="U73" si="89">13.902*SIN(4*Q73)+0.403*SIN(3*Q73)+2369.912*SIN(2*Q73)-125.154*SIN(Q73)+(1.979*SIN(N73+4*Q73)+191.953*SIN(N73+2*Q73)-8.466*SIN(N73+Q73)+22639.5*SIN(N73)+18.609*SIN(N73-Q73)-4586.465*SIN(N73-2*Q73)+3.215*SIN(N73-3*Q73)-38.428*SIN(N73-4*Q73)-0.393*SIN(N73-6*Q73))*R73+(-0.289*SIN(O73+4*Q73)-24.42*SIN(O73+2*Q73)+18.023*SIN(O73+Q73)-668.146*SIN(O73)+0.56*SIN(O73-Q73)-165.145*SIN(O73-2*Q73)-1.877*SIN(O73-4*Q73))*S73+(0.213*SIN(2*N73+4*Q73)+14.387*SIN(2*N73+2*Q73)-0.586*SIN(2*N73+Q73)+769.016*SIN(2*N73)+1.75*SIN(2*N73-Q73)-211.656*SIN(2*N73-2*Q73)+1.225*SIN(2*N73-3*Q73)-30.773*SIN(2*N73-4*Q73)-0.57*SIN(2*N73-6*Q73))*R73*R73+(-2.921*SIN(N73+O73+2*Q73)+1.267*SIN(N73+O73+Q73)-109.673*SIN(N73+O73)-205.962*SIN(N73+O73-2*Q73)+0.233*SIN(N73+O73-3*Q73)-4.391*SIN(N73+O73-4*Q73)+0.283*SIN(N73-O73+4*Q73)+14.577*SIN(N73-O73+2*Q73)+147.687*SIN(N73-O73)-1.089*SIN(N73-O73-Q73)+28.475*SIN(N73-O73-2*Q73)-0.276*SIN(N73-O73-3*Q73)+0.636*SIN(N73-O73-4*Q73))*R73*S73+(-0.189*SIN(2*O73+2*Q73)-7.486*SIN(2*O73)-8.096*SIN(2*O73-2*Q73))*S73*S73+(-5.741*SIN(2*P73+2*Q73)+0.255*SIN(2*P73+Q73)-411.608*SIN(2*P73)+0.584*SIN(2*P73-Q73)-55.173*SIN(2*P73-2*Q73)+0.254*SIN(2*P73-3*Q73)+0.025*SIN(2*P73-4*Q73))*T73*T73</f>
        <v>-19550.138216634907</v>
      </c>
      <c r="V73" s="17">
        <f t="shared" ref="V73" si="90">14.06*SIN(4*Q73)-4.01*SIN(3*Q73)+2373.36*SIN(2*Q73)-112.79*SIN(Q73)+(6.98*SIN(N73+4*Q73)+192.72*SIN(N73+2*Q73)-13.51*SIN(N73+Q73)+22609.07*SIN(N73)+3.59*SIN(N73-Q73)-4578.13*SIN(N73-2*Q73)+5.44*SIN(N73-3*Q73)-38.64*SIN(N73-4*Q73)-1.43*SIN(N73-6*Q73))*R73+(-1.59*SIN(O73+4*Q73)-25.1*SIN(O73+2*Q73)+17.93*SIN(O73+Q73)-126.98*SIN(O73)+0.32*SIN(O73-Q73)-165.06*SIN(O73-2*Q73)-6.46*SIN(O73-4*Q73))*S73+(1.02*SIN(2*N73+4*Q73)+14.78*SIN(2*N73+2*Q73)-1.2*SIN(2*N73+Q73)+767.96*SIN(2*N73)+2.01*SIN(2*N73-Q73)-152.53*SIN(2*N73-2*Q73)+0.91*SIN(2*N73-3*Q73)-34.07*SIN(2*N73-4*Q73)-1.4*SIN(2*N73-6*Q73))*R73*R73+(-11.75*SIN(N73+O73+2*Q73)+1.52*SIN(N73+O73+Q73)-115.18*SIN(N73+O73)-182.36*SIN(N73+O73-2*Q73)+0.36*SIN(N73+O73-3*Q73)-9.66*SIN(N73+O73-4*Q73)+1.53*SIN(N73-O73+4*Q73)+31.7*SIN(N73-O73+2*Q73)+138.76*SIN(N73-O73)+0.55*SIN(N73-O73-Q73)+23.59*SIN(N73-O73-2*Q73)-0.38*SIN(N73-O73-3*Q73)+2.27*SIN(N73-O73-4*Q73))*R73*S73+(-1.68*SIN(2*O73+2*Q73)-0.66*SIN(2*O73)-16.35*SIN(2*O73-2*Q73))*S73*S73+(-0.04*SIN(2*P73+2*Q73)-0.2*SIN(2*P73)+0.84*SIN(2*P73-Q73)-52.14*SIN(2*P73-2*Q73)+0.25*SIN(2*P73-3*Q73)-1.67*SIN(2*P73-4*Q73))*T73*T73</f>
        <v>-19551.013312328512</v>
      </c>
      <c r="W73" s="17">
        <f t="shared" ref="W73" si="91">-0.001*COS(4*Q73)+0.394*COS(3*Q73)+0.601*COS(2*Q73)-0.725*COS(Q73)+(-0.445*COS(N73+4*Q73)+0.029*COS(N73+2*Q73)+0.455*COS(N73+Q73)+0.079*COS(N73)-0.094*COS(N73-Q73)-0.077*COS(N73-2*Q73)+0.192*COS(N73-3*Q73)+0.001*COS(N73-4*Q73)-0.092*COS(N73-6*Q73))*R73+(0.123*COS(O73+4*Q73)+0.04*COS(O73+2*Q73)+0.007*COS(O73+Q73)-1.302*COS(O73)-0.001*COS(O73-Q73)+0.054*COS(O73-2*Q73)-0.416*COS(O73-4*Q73))*S73+(-0.074*COS(2*N73+4*Q73)-0.017*COS(2*N73+2*Q73)+0.054*COS(2*N73+Q73)+0.107*COS(2*N73)-0.018*COS(2*N73-Q73)+5.679*COS(2*N73-2*Q73)-0.03*COS(2*N73-3*Q73)-0.308*COS(2*N73-4*Q73)-0.074*COS(2*N73-6*Q73))*R73*R73+(0.787*COS(N73+O73+2*Q73)-0.022*COS(N73+O73+Q73)+0.461*COS(N73+O73)+2.056*COS(N73+O73-2*Q73)+0.012*COS(N73+O73-3*Q73)-0.471*COS(N73+O73-4*Q73)-0.111*COS(N73-O73+4*Q73)-1.54*COS(N73-O73+2*Q73)+0.679*COS(N73-O73)+0.021*COS(N73-O73-Q73)-0.443*COS(N73-O73-2*Q73)-0.006*COS(N73-O73-3*Q73)+0.146*COS(N73-O73-4*Q73))*R73*S73+(0.131*COS(2*O73+2*Q73)-0.037*COS(2*O73)-0.74*COS(2*O73-2*Q73))*S73*S73</f>
        <v>-2.3101296547769983</v>
      </c>
      <c r="X73" s="17">
        <f t="shared" ref="X73" si="92">0.2607*COS(4*Q73)+0.0023*COS(3*Q73)+28.2333*COS(2*Q73)-0.9781*COS(Q73)+(0.0433*COS(N73+4*Q73)+3.0861*COS(N73+2*Q73)-0.1093*COS(N73+Q73)+186.5398*COS(N73)+0.0118*COS(N73-Q73)+34.3117*COS(N73-2*Q73)-0.0386*COS(N73-3*Q73)+0.6008*COS(N73-4*Q73)+0.0086*COS(N73-6*Q73))*R73+(-0.0053*COS(O73+4*Q73)-0.3*COS(O73+2*Q73)+0.1494*COS(O73+Q73)-0.3997*COS(O73)-0.0037*COS(O73-Q73)+1.9178*COS(O73-2*Q73)+0.0339*COS(O73-4*Q73))*S73+(0.0054*COS(2*N73+4*Q73)+0.2833*COS(2*N73+2*Q73)-0.01*COS(2*N73+Q73)+10.1657*COS(2*N73)+0.0155*COS(2*N73-Q73)-0.3039*COS(2*N73-2*Q73)-0.0088*COS(2*N73-3*Q73)+0.3722*COS(2*N73-4*Q73)+0.0109*COS(2*N73-6*Q73))*R73*R73+(-0.0484*COS(N73+O73+2*Q73)+0.0164*COS(N73+O73+Q73)-0.949*COS(N73+O73)+1.4437*COS(N73+O73-2*Q73)-0.0025*COS(N73+O73-3*Q73)+0.0673*COS(N73+O73-4*Q73)+0.006*COS(N73-O73+4*Q73)+0.2302*COS(N73-O73+2*Q73)+1.1528*COS(N73-O73)-0.2257*COS(N73-O73-2*Q73)-0.0036*COS(N73-O73-3*Q73)-0.0102*COS(N73-O73-4*Q73))*R73*S73+(-0.0028*COS(2*O73+2*Q73)-0.0086*COS(2*O73)+0.0918*COS(2*O73-2*Q73))*S73*S73+(-0.0009*COS(2*P73+2*Q73)-0.0124*COS(2*P73)+0.0071*COS(2*P73-Q73)-0.1052*COS(2*P73-2*Q73)-0.0017*COS(2*P73-3*Q73)+0.0031*COS(2*P73-4*Q73))*T73*T73</f>
        <v>15.435369195559018</v>
      </c>
      <c r="Y73" s="17">
        <f t="shared" ref="Y73" si="93">U73+(1.06*SIN(3*N73+2*Q73)+36.124*SIN(3*N73)-13.193*SIN(3*N73-2*Q73)-1.187*SIN(3*N73-4*Q73)-0.293*SIN(3*N73-6*Q73))*R73*R73*R73+(-0.29*SIN(2*N73+O73+2*Q73)-7.649*SIN(2*N73+O73)-8.627*SIN(2*N73+O73-2*Q73)-2.74*SIN(2*N73+O73-4*Q73)+1.181*SIN(2*N73-O73+2*Q73)+9.703*SIN(2*N73-O73)-0.352*SIN(2*N73-O73-Q73)-2.494*SIN(2*N73-O73-2*Q73)+0.36*SIN(2*N73-O73-4*Q73))*R73*R73*S73+(-1.167*SIN(N73+2*O73)-7.412*SIN(N73+2*O73-2*Q73)-0.311*SIN(N73+2*O73-4*Q73)+0.757*SIN(N73-2*O73+2*Q73)+2.58*SIN(N73-2*O73)+2.533*SIN(N73-2*O73-2*Q73))*R73*S73*S73-0.344*SIN(3*O73-2*Q73)*S73*S73*S73+(-0.992*SIN(N73+2*P73+2*Q73)-45.099*SIN(N73+2*P73)-0.179*SIN(N73+2*P73-2*Q73)-0.301*SIN(N73+2*P73-4*Q73)-6.382*SIN(N73-2*P73+2*Q73)+39.528*SIN(N73-2*P73)+9.366*SIN(N73-2*P73-2*Q73)+0.202*SIN(N73-2*P73-4*Q73))*R73*T73*T73+(0.415*SIN(O73+2*P73)-2.152*SIN(O73+2*P73-2*Q73)-1.44*SIN(O73-2*P73+2*Q73)+0.384*SIN(O73-2*P73-2*Q73))*S73*T73*T73+(1.938*SIN(4*N73)-0.952*SIN(4*N73-2*Q73))*R73*R73*R73*R73+(-0.551*SIN(3*N73+O73)-0.482*SIN(3*N73+O73-2*Q73)+0.681*SIN(3*N73-O73))*R73*R73*R73*S73+(-0.297*SIN(2*N73+2*O73-2*Q73)+0.254*SIN(2*N73-2*O73-2*Q73))*R73*R73*S73*S73-0.25*SIN(N73+3*O73-2*Q73)*R73*S73*S73*S73+(-3.996*SIN(2*N73+2*P73)+0.557*SIN(2*N73+2*P73-2*Q73)-0.459*SIN(2*N73-2*P73+2*Q73)-1.298*SIN(2*N73-2*P73)+0.538*SIN(2*N73-2*P73-2*Q73))*R73*R73*T73*T73+(0.263*SIN(N73+O73+2*P73)+0.426*SIN(N73+O73-2*P73-2*Q73)-0.304*SIN(N73-O73+2*P73)-0.372*SIN(N73-O73-2*P73+2*Q73))*R73*S73*T73*T73+0.418*SIN(4*P73)*T73*T73*T73*T73-0.33*SIN(3*N73+2*P73)*R73*R73*R73*T73*T73</f>
        <v>-19566.808904350379</v>
      </c>
      <c r="Z73" s="17">
        <f t="shared" ref="Z73" si="94">V73+(2.96*SIN(3*N73+2*Q73)+50.64*SIN(3*N73)-16.4*SIN(3*N73-2*Q73)-0.74*SIN(3*N73-4*Q73)-0.31*SIN(3*N73-6*Q73))*R73*R73*R73+(-1.45*SIN(2*N73+O73+2*Q73)-10.56*SIN(2*N73+O73)-7.59*SIN(2*N73+O73-2*Q73)-2.54*SIN(2*N73+O73-4*Q73)+3.32*SIN(2*N73-O73+2*Q73)+11.67*SIN(2*N73-O73)-0.37*SIN(2*N73-O73-Q73)-1.17*SIN(2*N73-O73-2*Q73)+0.2*SIN(2*N73-O73-4*Q73))*R73*R73*S73+(-1.25*SIN(N73+2*O73)-6.12*SIN(N73+2*O73-2*Q73)-0.65*SIN(N73+2*O73-4*Q73)+1.82*SIN(N73-2*O73+2*Q73)+2.32*SIN(N73-2*O73)+2.4*SIN(N73-2*O73-2*Q73))*R73*S73*S73-0.57*SIN(3*O73-2*Q73)*S73*S73*S73+(-0.02*SIN(N73+2*P73+2*Q73)-0.02*SIN(N73+2*P73)-9.52*SIN(N73+2*P73-2*Q73)-0.33*SIN(N73+2*P73-4*Q73)-3.37*SIN(N73-2*P73+2*Q73)+85.13*SIN(N73-2*P73)+0.71*SIN(N73-2*P73-2*Q73)+0.02*SIN(N73-2*P73-4*Q73))*R73*T73*T73+(0.1*SIN(O73+2*P73)-2.26*SIN(O73+2*P73-2*Q73)-1.3*SIN(O73-2*P73+2*Q73)-0.04*SIN(O73-2*P73-2*Q73))*S73*T73*T73+(3.6*SIN(4*N73)-1.58*SIN(4*N73-2*Q73))*R73*R73*R73*R73+(-0.94*SIN(3*N73+O73)-0.57*SIN(3*N73+O73-2*Q73)+0.96*SIN(3*N73-O73))*R73*R73*R73*S73+(-0.27*SIN(2*N73+2*O73-2*Q73)+0.21*SIN(2*N73-2*O73-2*Q73))*R73*R73*S73*S73-0.22*SIN(N73+3*O73-2*Q73)*R73*S73*S73*S73+(-0.75*SIN(2*N73+2*P73-2*Q73)-0.38*SIN(2*N73-2*P73+2*Q73)+0.74*SIN(2*N73-2*P73)+1.14*SIN(2*N73-2*P73-2*Q73))*R73*R73*T73*T73+(0.02*SIN(N73+O73+2*P73)+0.07*SIN(N73+O73-2*P73-2*Q73)+0.03*SIN(N73-O73+2*P73)-0.19*SIN(N73-O73-2*P73+2*Q73))*R73*S73*T73*T73-0.04*SIN(3*N73+2*P73)*R73*R73*R73*T73*T73</f>
        <v>-19529.710980495063</v>
      </c>
      <c r="AA73" s="17">
        <f t="shared" ref="AA73" si="95">W73+(-0.166*COS(3*N73+2*Q73)-1.3*COS(3*N73)+0.258*COS(3*N73-2*Q73)+0.042*COS(3*N73-4*Q73)-0.002*COS(3*N73-6*Q73))*R73*R73*R73+(0.116*COS(2*N73+O73+2*Q73)+0.259*COS(2*N73+O73)+0.078*COS(2*N73+O73-2*Q73)+0.022*COS(2*N73+O73-4*Q73)-0.212*COS(2*N73-O73+2*Q73)-0.151*COS(2*N73-O73)+0.001*COS(2*N73-O73-Q73)-0.003*COS(2*N73-O73-2*Q73)-0.012*COS(2*N73-O73-4*Q73))*R73*R73*S73+(0.008*COS(N73+2*O73)+0.117*COS(N73+2*O73-2*Q73)-0.032*COS(N73+2*O73-4*Q73)-0.105*COS(N73-2*O73+2*Q73)+0.027*COS(N73-2*O73)-0.014*COS(N73-2*O73-2*Q73))*R73*S73*S73-0.025*COS(3*O73-2*Q73)*S73*S73*S73+(-0.145*COS(4*N73)+0.052*COS(4*N73-2*Q73))*R73*R73*R73*R73+(0.032*COS(3*N73+O73)+0.005*COS(3*N73+O73-2*Q73)-0.026*COS(3*N73-O73))*R73*R73*R73*S73+(0.002*COS(2*N73+2*O73-2*Q73)-0.003*COS(2*N73-2*O73-2*Q73))*R73*R73*S73*S73+0.004*COS(N73+3*O73-2*Q73)*R73*S73*S73*S73</f>
        <v>-1.0988852223659875</v>
      </c>
      <c r="AB73" s="17">
        <f t="shared" ref="AB73" si="96">X73+(0.0243*COS(3*N73+2*Q73)+0.6215*COS(3*N73)-0.1187*COS(3*N73-2*Q73)+0.0074*COS(3*N73-4*Q73)+0.0046*COS(3*N73-6*Q73))*R73*R73*R73+(-0.0051*COS(2*N73+O73+2*Q73)-0.1038*COS(2*N73+O73)-0.0192*COS(2*N73+O73-2*Q73)+0.0324*COS(2*N73+O73-4*Q73)+0.0213*COS(2*N73-O73+2*Q73)+0.1268*COS(2*N73-O73)-0.0028*COS(2*N73-O73-Q73)-0.0017*COS(2*N73-O73-2*Q73)-0.0043*COS(2*N73-O73-4*Q73))*R73*R73*S73+(-0.0106*COS(N73+2*O73)+0.0484*COS(N73+2*O73-2*Q73)+0.0044*COS(N73+2*O73-4*Q73)+0.0112*COS(N73-2*O73+2*Q73)+0.0196*COS(N73-2*O73)-0.0212*COS(N73-2*O73-2*Q73))*R73*S73*S73+0.0036*COS(3*O73-2*Q73)*S73*S73*S73+(-0.001*COS(N73+2*P73)-0.0833*COS(N73+2*P73-2*Q73)+0.0014*COS(N73+2*P73-4*Q73)-0.0481*COS(N73-2*P73+2*Q73)-0.7136*COS(N73-2*P73)-0.0112*COS(N73-2*P73-2*Q73))*R73*T73*T73+(0.0013*COS(O73+2*P73)-0.0066*COS(O73+2*P73-2*Q73)+0.0014*COS(O73-2*P73+2*Q73))*S73*T73*T73+(0.0401*COS(4*N73)-0.013*COS(4*N73-2*Q73))*R73*R73*R73*R73+(-0.0097*COS(3*N73+O73)-0.0045*COS(3*N73+O73-2*Q73)+0.0115*COS(3*N73-O73))*R73*R73*R73*S73-0.0009*COS(2*N73+2*O73-2*Q73)*R73*R73*S73*S73+0.0014*COS(N73+3*O73-2*Q73)*R73*S73*S73*S73+(0.0004*COS(2*N73+2*P73)-0.009*COS(2*N73+2*P73-2*Q73)-0.0053*COS(2*N73-2*P73+2*Q73)+0.0004*COS(2*N73-2*P73)-0.0141*COS(2*N73-2*P73-2*Q73))*R73*R73*T73*T73+(-0.0006*COS(N73+O73-2*P73-2*Q73)+0.0003*COS(N73-O73+2*P73)-0.0027*COS(N73-O73-2*P73+2*Q73))*R73*S73*T73*T73</f>
        <v>15.604869148962578</v>
      </c>
      <c r="AC73" s="17">
        <f t="shared" ref="AC73" si="97">(P73*180/PI()+Z73/3600)*PI()/180</f>
        <v>4.0464414861628297</v>
      </c>
      <c r="AD73" s="17">
        <f t="shared" si="4"/>
        <v>4.4790272636126041</v>
      </c>
      <c r="AE73" s="17">
        <f t="shared" si="5"/>
        <v>-7.2535226312054488E-2</v>
      </c>
      <c r="AF73" s="17">
        <f t="shared" ref="AF73" si="98">ASIN(0.999953253*(3422.7+AB73)*PI()/648000)</f>
        <v>1.6669365129797893E-2</v>
      </c>
      <c r="AG73" s="17">
        <f t="shared" si="38"/>
        <v>4.5425286850449128E-3</v>
      </c>
      <c r="AH73" s="17">
        <f t="shared" ref="AH73" si="99">MOD(ATAN2(COS(AD73)*COS(AE73),COS(M73)*SIN(AD73)*COS(AE73)-SIN(M73)*SIN(AE73)),2*PI())</f>
        <v>4.4507866605216195</v>
      </c>
      <c r="AI73" s="17">
        <f t="shared" ref="AI73" si="100">ASIN(SIN(M73)*SIN(AD73)*COS(AE73)+COS(M73)*SIN(AE73))</f>
        <v>-0.46951989714726888</v>
      </c>
      <c r="AJ73" s="17">
        <f t="shared" ref="AJ73" si="101">AD73*180/PI()</f>
        <v>256.62935852903223</v>
      </c>
      <c r="AK73" s="17">
        <f t="shared" ref="AK73" si="102">AE73*180/PI()</f>
        <v>-4.1559623337070013</v>
      </c>
      <c r="AL73" s="17">
        <f t="shared" ref="AL73" si="103">INT(AH73*432000/PI()+0.6)/36000</f>
        <v>17.00075</v>
      </c>
      <c r="AM73" s="17">
        <f t="shared" ref="AM73" si="104">INT(AI73*648000/PI()-0.5)/3600</f>
        <v>-26.901666666666667</v>
      </c>
      <c r="AN73" s="17">
        <f t="shared" ref="AN73" si="105">INT(AF73*648000/PI()+0.5)/3600</f>
        <v>0.95499999999999996</v>
      </c>
      <c r="AO73" s="17">
        <f t="shared" ref="AO73" si="106">AO72</f>
        <v>16.513999999999999</v>
      </c>
      <c r="AP73" s="17">
        <f t="shared" ref="AP73" si="107">AL73-AO73</f>
        <v>0.48675000000000068</v>
      </c>
      <c r="AQ73" s="18">
        <f>SUM(AQ46:AQ72)</f>
        <v>13</v>
      </c>
      <c r="AR73" s="18">
        <f>SUM(AR46:AR72)</f>
        <v>15</v>
      </c>
      <c r="AS73" s="18">
        <f>SUM(AS46:AS72)</f>
        <v>12</v>
      </c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</row>
    <row r="74" spans="1:109" ht="17.25" hidden="1">
      <c r="A74" s="2"/>
      <c r="B74" s="4"/>
      <c r="C74" s="9" t="s">
        <v>18</v>
      </c>
      <c r="D74" s="10"/>
      <c r="E74" s="10"/>
      <c r="F74" s="10"/>
      <c r="G74" s="10"/>
      <c r="H74" s="10"/>
      <c r="I74" s="10"/>
      <c r="J74" s="10"/>
      <c r="K74" s="11"/>
      <c r="L74" s="10"/>
      <c r="M74" s="10"/>
      <c r="N74" s="11" t="s">
        <v>11</v>
      </c>
      <c r="O74" s="10"/>
      <c r="P74" s="10"/>
      <c r="Q74" s="10"/>
      <c r="R74" s="12"/>
      <c r="S74" s="4"/>
      <c r="T74" s="4"/>
      <c r="U74" s="4"/>
      <c r="V74" s="4"/>
      <c r="W74" s="4"/>
      <c r="X74" s="4"/>
      <c r="Y74" s="13"/>
      <c r="Z74" s="13"/>
      <c r="AA74" s="13"/>
      <c r="AB74" s="13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101" t="s">
        <v>18</v>
      </c>
      <c r="AN74" s="8"/>
      <c r="AO74" s="8"/>
      <c r="AP74" s="8"/>
      <c r="AQ74" s="8"/>
      <c r="AR74" s="8"/>
      <c r="AS74" s="8"/>
      <c r="AT74" s="7"/>
      <c r="AU74" s="102"/>
      <c r="AV74" s="7"/>
      <c r="AW74" s="50" t="s">
        <v>192</v>
      </c>
      <c r="AX74" s="24"/>
      <c r="AY74" s="24"/>
      <c r="AZ74" s="24"/>
      <c r="BA74" s="24"/>
      <c r="BB74" s="24"/>
      <c r="BC74" s="17"/>
      <c r="BD74" s="17"/>
      <c r="BE74" s="8"/>
      <c r="BF74" s="8"/>
      <c r="BG74" s="8"/>
      <c r="BH74" s="8"/>
      <c r="BI74" s="17"/>
      <c r="BJ74" s="8"/>
      <c r="BK74" s="17"/>
      <c r="BL74" s="17"/>
      <c r="BM74" s="8"/>
      <c r="BN74" s="17"/>
      <c r="BO74" s="17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</row>
    <row r="75" spans="1:109" ht="17.25" hidden="1">
      <c r="A75" s="6" t="s">
        <v>138</v>
      </c>
      <c r="B75" s="4" t="s">
        <v>140</v>
      </c>
      <c r="C75" s="14" t="s">
        <v>99</v>
      </c>
      <c r="D75" s="14" t="s">
        <v>210</v>
      </c>
      <c r="E75" s="14" t="s">
        <v>101</v>
      </c>
      <c r="F75" s="14" t="s">
        <v>102</v>
      </c>
      <c r="G75" s="14" t="s">
        <v>211</v>
      </c>
      <c r="H75" s="7" t="s">
        <v>9</v>
      </c>
      <c r="I75" s="15" t="s">
        <v>245</v>
      </c>
      <c r="J75" s="7" t="s">
        <v>10</v>
      </c>
      <c r="K75" s="15" t="s">
        <v>107</v>
      </c>
      <c r="L75" s="15" t="s">
        <v>127</v>
      </c>
      <c r="M75" s="15" t="s">
        <v>127</v>
      </c>
      <c r="N75" s="3" t="s">
        <v>99</v>
      </c>
      <c r="O75" s="3" t="s">
        <v>210</v>
      </c>
      <c r="P75" s="3" t="s">
        <v>101</v>
      </c>
      <c r="Q75" s="3" t="s">
        <v>102</v>
      </c>
      <c r="R75" s="4" t="s">
        <v>12</v>
      </c>
      <c r="S75" s="4" t="s">
        <v>13</v>
      </c>
      <c r="T75" s="4" t="s">
        <v>14</v>
      </c>
      <c r="U75" s="13" t="s">
        <v>15</v>
      </c>
      <c r="V75" s="13" t="s">
        <v>16</v>
      </c>
      <c r="W75" s="3" t="s">
        <v>24</v>
      </c>
      <c r="X75" s="13" t="s">
        <v>17</v>
      </c>
      <c r="Y75" s="13" t="s">
        <v>19</v>
      </c>
      <c r="Z75" s="13" t="s">
        <v>20</v>
      </c>
      <c r="AA75" s="3" t="s">
        <v>25</v>
      </c>
      <c r="AB75" s="13" t="s">
        <v>21</v>
      </c>
      <c r="AC75" s="13" t="s">
        <v>22</v>
      </c>
      <c r="AD75" s="3" t="s">
        <v>246</v>
      </c>
      <c r="AE75" s="4" t="s">
        <v>247</v>
      </c>
      <c r="AF75" s="4" t="s">
        <v>248</v>
      </c>
      <c r="AG75" s="4" t="s">
        <v>249</v>
      </c>
      <c r="AH75" s="4" t="s">
        <v>250</v>
      </c>
      <c r="AI75" s="4" t="s">
        <v>251</v>
      </c>
      <c r="AJ75" s="3" t="s">
        <v>252</v>
      </c>
      <c r="AK75" s="4" t="s">
        <v>253</v>
      </c>
      <c r="AL75" s="4" t="str">
        <f>B75</f>
        <v>T TDT</v>
      </c>
      <c r="AM75" s="8" t="s">
        <v>99</v>
      </c>
      <c r="AN75" s="8" t="s">
        <v>210</v>
      </c>
      <c r="AO75" s="8" t="s">
        <v>101</v>
      </c>
      <c r="AP75" s="8" t="s">
        <v>263</v>
      </c>
      <c r="AQ75" s="8" t="s">
        <v>211</v>
      </c>
      <c r="AR75" s="8" t="s">
        <v>212</v>
      </c>
      <c r="AS75" s="8" t="s">
        <v>105</v>
      </c>
      <c r="AT75" s="7" t="s">
        <v>262</v>
      </c>
      <c r="AU75" s="8" t="s">
        <v>107</v>
      </c>
      <c r="AV75" s="8" t="s">
        <v>214</v>
      </c>
      <c r="AW75" s="8" t="s">
        <v>102</v>
      </c>
      <c r="AX75" s="8" t="s">
        <v>261</v>
      </c>
      <c r="AY75" s="8" t="s">
        <v>218</v>
      </c>
      <c r="AZ75" s="8" t="s">
        <v>101</v>
      </c>
      <c r="BA75" s="8" t="s">
        <v>80</v>
      </c>
      <c r="BB75" s="8" t="s">
        <v>260</v>
      </c>
      <c r="BC75" s="8" t="s">
        <v>220</v>
      </c>
      <c r="BD75" s="8" t="s">
        <v>186</v>
      </c>
      <c r="BE75" s="8" t="s">
        <v>187</v>
      </c>
      <c r="BF75" s="8" t="s">
        <v>127</v>
      </c>
      <c r="BG75" s="8" t="s">
        <v>221</v>
      </c>
      <c r="BH75" s="8" t="s">
        <v>222</v>
      </c>
      <c r="BI75" s="8" t="s">
        <v>223</v>
      </c>
      <c r="BJ75" s="8" t="s">
        <v>224</v>
      </c>
      <c r="BK75" s="8" t="s">
        <v>225</v>
      </c>
      <c r="BL75" s="8" t="s">
        <v>226</v>
      </c>
      <c r="BM75" s="8"/>
      <c r="BN75" s="8"/>
      <c r="BO75" s="8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</row>
    <row r="76" spans="1:109" ht="17.25" hidden="1">
      <c r="A76" s="53">
        <f>AQ73</f>
        <v>13</v>
      </c>
      <c r="B76" s="19">
        <f>B47+A76/876600</f>
        <v>0.23794775268081222</v>
      </c>
      <c r="C76" s="8">
        <f t="shared" ref="C76:C77" si="108">MOD((((0.064*B76+31.31)*B76+1717915922.633)*B76+485866.733)/3600,360)*PI()/180</f>
        <v>4.945592077843977</v>
      </c>
      <c r="D76" s="8">
        <f t="shared" ref="D76:D77" si="109">MOD((((-0.012*B76-0.577)*B76+(99*1296000+1292581.224)*B76)+1287099.804)/3600,360)*PI()/180</f>
        <v>4.9466263390060252</v>
      </c>
      <c r="E76" s="8">
        <f t="shared" ref="E76:E77" si="110">MOD((((0.011*B76-13.257)*B76+1739527263.137*B76)+335778.877)/3600,360)*PI()/180</f>
        <v>4.016093334944002</v>
      </c>
      <c r="F76" s="8">
        <f t="shared" ref="F76:F77" si="111">MOD((((0.019*B76-6.891)*B76+1602961601.328*B76)+1072261.307)/3600,360)*PI()/180</f>
        <v>0.84052311766525034</v>
      </c>
      <c r="G76" s="8">
        <f t="shared" ref="G76:G77" si="112">MOD((((0.008*B76+7.455)*B76-6962890.539*B76)+450160.28)/3600,360)*PI()/180</f>
        <v>0.43321931676925546</v>
      </c>
      <c r="H76" s="7">
        <f>SIN(G76)*(-171996-174.2*B76)+SIN(2*G76)*(2062+0.2*B76)+SIN(2*(-C76+E76)+G76)*46+SIN(2*(C76-E76))*11+SIN(2*(-C76+E76+G76))*-3+SIN(C76-D76-F76)*-3+SIN(2*(-D76+E76-F76)+G76)*-2+SIN(2*(C76-E76)+G76)+SIN(2*(E76-F76+G76))*(-13187-1.6*B76)+SIN(D76)*(1426-3.4*B76)+SIN(D76+2*(E76-F76+G76))*(-517+1.2*B76)+SIN(-D76+2*(E76-F76+G76))*(217-0.5*B76)+SIN(2*(E76-F76)+G76)*(129+0.1*B76)+SIN(2*(C76-F76))*48+SIN(2*(E76-F76))*-22+SIN(2*D76)*(17-0.1*B76)+SIN(D76+G76)*-15+SIN(2*(D76+E76-F76+G76))*(-16+0.1*B76)+SIN(-D76+G76)*-12+SIN(2*(-C76+F76)+G76)*-6+SIN(-D76+2*(E76-F76)+G76)*-5+SIN(2*(C76-F76)+G76)*4+SIN(2*(E76-F76)+G76)*4+SIN(C76-F76)*-4+SIN(2*(C76-F76)+D76)+SIN(2*(-E76+F76)+G76)-SIN(D76+2*(-E76+F76))+SIN(D76+2*G76)+SIN(-C76+F76+G76)-SIN(D76+2*(E76-F76))+SIN(2*E76+2*G76)*(-2274-0.2*B76)+SIN(C76)*(712+0.1*B76)+SIN(2*E76+G76)*(-386-0.4*B76)+SIN(C76+2*(E76+G76))*-301+SIN(C76-2*F76)*-158+SIN(-C76+2*(E76+G76))*123+SIN(2*F76)*63+SIN(C76+G76)*(63+0.1*B76)+SIN(-C76+G76)*(-58-0.1*B76)+SIN(-C76+2*(E76+F76+G76))*-59+SIN(C76+2*E76+G76)*-51+SIN(2*(E76+F76+G76))*-38+SIN(2*C76)*29+SIN(C76+2*(E76-F76+G76))*29+SIN(2*(C76+E76+G76))*-31+SIN(2*E76)*26+SIN(-C76+2*E76+G76)*21+SIN(-C76+2*F76+G76)*16+SIN(C76-2*F76+G76)*-13+SIN(-C76+2*(E76+F76)+G76)*-10+SIN(C76+D76-2*F76)*-7+SIN(D76+2*(E76+G76))*7+SIN(-D76+2*(E76+G76))*-7</f>
        <v>-84685.96233010701</v>
      </c>
      <c r="I76" s="8">
        <f>(H76+SIN(C76+2*(E76+F76+G76))*-8+SIN(C76+2*F76)*6+SIN(2*(C76+E76-F76+G76))*6+SIN(2*F76+G76)*-6+SIN(2*(E76+F76)+G76)*-7+SIN(C76+2*(E76-F76)+G76)*6+SIN(-2*F76+G76)*-5+SIN(C76-D76)*5+SIN(2*(C76+E76)+G76)*-5+SIN(D76-2*F76)*-4+SIN(C76-2*E76)*4+SIN(F76)*-4+SIN(C76+D76)*-3+SIN(C76+2*E76)*3+SIN(C76-D76+2*(E76+G76))*-3+SIN(-C76-D76+2*(E76+F76+G76))*-3+SIN(-2*C76+G76)*-2+SIN(3*C76+2*(E76+G76))*-3+SIN(-D76+2*(E76+F76+G76))*-3+SIN(C76+D76+2*(E76+G76))*2+SIN(-C76+2*(E76-F76)+G76)*-2+SIN(2*C76+G76)*2+SIN(C76+2*G76)*-2+SIN(3*C76)*2+SIN(2*(E76+G76)+F76)*2+SIN(-C76+2*G76)-SIN(C76-4*F76)+SIN(2*(-C76+E76+F76+G76))+SIN(-C76+2*(E76+2*F76+G76))*-2-SIN(2*(C76-2*F76))+SIN(C76+D76+2*(E76-F76+G76))-SIN(C76+2*(E76+F76)+G76)-SIN(2*(-C76+E76+2*F76+G76))+SIN(-C76+2*(2*E76+G76))+SIN(C76-D76-2*F76)+SIN(2*(C76+E76-F76)+G76)-SIN(2*(C76+E76+F76+G76))-SIN(C76+2*F76+G76)+SIN(2*(2*E76-F76+G76))+SIN(3*C76+2*(E76-F76+G76))-SIN(C76+2*(E76-F76))+SIN(D76+2*E76+G76)+SIN(-C76-D76+2*F76+G76)-SIN(-2*E76+G76)-SIN(2*E76-F76+2*G76)-SIN(D76+2*F76)-SIN(C76+2*(-E76-F76))-SIN(-D76+2*E76+G76)-SIN(C76+D76-2*F76+G76)-SIN(C76+2*(-E76+F76))+SIN(2*(C76+F76))-SIN(2*(E76+2*F76+G76))+SIN(D76+F76))*PI()/6480000000</f>
        <v>-4.1062892479811816E-5</v>
      </c>
      <c r="J76" s="7">
        <f>COS(G76)*(92025+8.9*B76)+COS(2*G76)*(-895+0.5*B76)+COS(2*(-C76+E76)+G76)*-24+COS(2*(-C76+E76+G76))+COS(2*(-D76+E76-F76)+G76)+COS(2*(E76-F76+G76))*(5736-3.1*B76)+COS(D76)*(54-0.1*B76)+COS(D76+2*(E76-F76+G76))*(224-0.6*B76)+COS(-D76+2*(E76-F76+G76))*(-95-0.3*B76)+COS(2*(E76-F76)+G76)*-70+COS(2*(C76-F76))+COS(D76+G76)*9+COS(2*(D76+E76-F76+G76))*7+COS(-D76+G76)*6+COS(2*(-C76+F76)+G76)*3+COS(-D76+2*(E76-F76)+G76)*3+COS(2*(C76-F76)+G76)*-2+COS(D76+2*(E76-F76)+G76)*-2+COS(PI()/2)+COS(PI()/2)+COS(PI()/2)+COS(PI()/2)+COS(PI()/2)+COS(PI()/2)+COS(2*E76+2*G76)*(977-0.5*B76)+COS(C76)*-7+COS(2*E76+G76)*200+COS(C76+2*(E76+G76))*(129-0.1*B76)-COS(C76-2*F76)+COS(-C76+2*(E76+G76))*-53+COS(2*F76)*-2+COS(C76+G76)*-33+COS(-C76+G76)*32+COS(-C76+2*(E76+F76+G76))*26+COS(C76+2*E76+G76)*27+COS(2*(E76+F76+G76))*16-COS(2*C76)+COS(C76+2*(E76-F76+G76))*-12+COS(2*(C76+E76+G76))*13-COS(2*E76)+COS(-C76+2*E76+G76)*-10+COS(-C76+2*F76+G76)*-8+COS(C76-2*F76+G76)*7+COS(-C76+2*(E76+F76)+G76)*5+COS(D76+2*(E76+G76))*-3+COS(-D76+2*(E76+G76))*3</f>
        <v>85704.018752034317</v>
      </c>
      <c r="K76" s="8">
        <f>(J76+COS(C76+2*(E76+F76+G76))*3+COS(2*(C76+E76-F76+G76))*-3+COS(2*F76+G76)*3+COS(2*(E76+F76)+G76)*3+COS(C76+2*(E76-F76)+G76)*-3+COS(-2*F76+G76)*3+COS(2*(C76+E76)+G76)*3+COS(C76-D76+2*(E76+G76))+COS(-C76-D76+2*(E76+F76+G76))+COS(-2*C76+G76)+COS(3*C76+2*(E76+G76))+COS(-D76+2*(E76+F76+G76))-COS(C76+D76+2*(E76+G76))+COS(-C76+2*(E76-F76)+G76)-COS(2*C76+G76)+COS(C76+2*G76)-COS(2*(E76+G76)+F76)-COS(-C76+2*G76)-COS(2*(-C76+E76+F76+G76))+COS(-C76+2*(E76+2*F76+G76))-COS(C76+D76+2*(E76-F76+G76))+COS(C76+2*(E76+F76)+G76)+COS(2*(-C76+E76+2*F76+G76))-COS(2*(C76+E76-F76)+G76))*PI()/6480000000</f>
        <v>4.1548518637339641E-5</v>
      </c>
      <c r="L76" s="8">
        <f t="shared" ref="L76:L77" si="113">(((((((((((245*B76/100+579)*B76/100+2787)*B76/100+712)*B76/100-3905)*B76/100-24967)*B76/100-5138)*B76/1007+199925)*B76/100-155)*B76/100-468093)*B76/100+158144.8)/360000+23)*PI()/180</f>
        <v>0.40903880494933775</v>
      </c>
      <c r="M76" s="8">
        <f t="shared" ref="M76:M77" si="114">L76+K76</f>
        <v>0.40908035346797511</v>
      </c>
      <c r="N76" s="17">
        <f t="shared" ref="N76:N77" si="115">MOD(2*PI()*(0.37489701+(0.00002565*B76+1325.55240982)*B76)+(2.94*SIN(2*PI()*(0.19833+0.05611*B76))+0.31*SIN(2*PI()*(0.27869+0.04508*B76))+14.27*SIN(2*PI()*(0.16827-0.36903*B76))+9.34*SIN(2*PI()*(0.34734-5.37261*B76))+1.12*SIN(2*PI()*(0.10498-5.37899*B76))+0.83*SIN(2*PI()*(0.42681-0.41855*B76)))*PI()/648000,2*PI())</f>
        <v>4.9456586977499839</v>
      </c>
      <c r="O76" s="17">
        <f t="shared" ref="O76:O77" si="116">MOD(2*PI()*(0.99312619+(-0.00000044*B76+99.99735956)*B76)+(-6.4*SIN(2*PI()*(0.19833+0.05611*B76))-1.89*SIN(2*PI()*(0.42681-0.41855*B76)))*PI()/648000,2*PI())</f>
        <v>4.9465448275837502</v>
      </c>
      <c r="P76" s="17">
        <f t="shared" ref="P76:P77" si="117">MOD(2*PI()*(0.25909118+(-0.00000892*B76+1342.2278298)*B76)+(0.21*SIN(2*PI()*(0.19833+0.05611*B76))+0.31*SIN(2*PI()*(0.27869+0.04508*B76))+14.27*SIN(2*PI()*(0.16827-0.36903*B76))-88.7*SIN(2*PI()*(0.34734-5.37261*B76))-15.3*SIN(2*PI()*(0.10498-5.37899*B76))+0.24*SIN(2*PI()*(0.42681-0.41855*B76))-1.86*SIN(2*PI()*(0.14943-5.37511*B76)))*PI()/648000,2*PI())</f>
        <v>4.0160554688377701</v>
      </c>
      <c r="Q76" s="17">
        <f t="shared" ref="Q76:Q77" si="118">MOD(2*PI()*(0.82736186+(-0.00000397*B76+1236.85308708)*B76)+(7.24*SIN(2*PI()*(0.19833+0.05611*B76))+0.31*SIN(2*PI()*(0.27869+0.04508*B76))+14.27*SIN(2*PI()*(0.16827-0.36903*B76))+7.26*SIN(2*PI()*(0.34734-5.37261*B76))+0.28*SIN(2*PI()*(0.10498-5.37899*B76))+2.13*SIN(2*PI()*(0.42681-0.41855*B76)))*PI()/648000,2*PI())</f>
        <v>0.84061922237886932</v>
      </c>
      <c r="R76" s="17">
        <f t="shared" ref="R76:R77" si="119">1.000002208</f>
        <v>1.0000022079999999</v>
      </c>
      <c r="S76" s="17">
        <f t="shared" ref="S76:S77" si="120">1-0.002495388*(B76+1)</f>
        <v>0.9969108400333333</v>
      </c>
      <c r="T76" s="17">
        <f t="shared" ref="T76:T77" si="121">1.000002708+139.978*((SIN(2*PI()*(0.59734-5.37261*B76))*-3332+SIN(2*PI()*(0.35498-5.37899*B76))*-539+SIN(2*PI()*(0.39943-5.37511*B76))*-64)/1000000000)</f>
        <v>0.9995389476993658</v>
      </c>
      <c r="U76" s="17">
        <f t="shared" ref="U76:U77" si="122">13.902*SIN(4*Q76)+0.403*SIN(3*Q76)+2369.912*SIN(2*Q76)-125.154*SIN(Q76)+(1.979*SIN(N76+4*Q76)+191.953*SIN(N76+2*Q76)-8.466*SIN(N76+Q76)+22639.5*SIN(N76)+18.609*SIN(N76-Q76)-4586.465*SIN(N76-2*Q76)+3.215*SIN(N76-3*Q76)-38.428*SIN(N76-4*Q76)-0.393*SIN(N76-6*Q76))*R76+(-0.289*SIN(O76+4*Q76)-24.42*SIN(O76+2*Q76)+18.023*SIN(O76+Q76)-668.146*SIN(O76)+0.56*SIN(O76-Q76)-165.145*SIN(O76-2*Q76)-1.877*SIN(O76-4*Q76))*S76+(0.213*SIN(2*N76+4*Q76)+14.387*SIN(2*N76+2*Q76)-0.586*SIN(2*N76+Q76)+769.016*SIN(2*N76)+1.75*SIN(2*N76-Q76)-211.656*SIN(2*N76-2*Q76)+1.225*SIN(2*N76-3*Q76)-30.773*SIN(2*N76-4*Q76)-0.57*SIN(2*N76-6*Q76))*R76*R76+(-2.921*SIN(N76+O76+2*Q76)+1.267*SIN(N76+O76+Q76)-109.673*SIN(N76+O76)-205.962*SIN(N76+O76-2*Q76)+0.233*SIN(N76+O76-3*Q76)-4.391*SIN(N76+O76-4*Q76)+0.283*SIN(N76-O76+4*Q76)+14.577*SIN(N76-O76+2*Q76)+147.687*SIN(N76-O76)-1.089*SIN(N76-O76-Q76)+28.475*SIN(N76-O76-2*Q76)-0.276*SIN(N76-O76-3*Q76)+0.636*SIN(N76-O76-4*Q76))*R76*S76+(-0.189*SIN(2*O76+2*Q76)-7.486*SIN(2*O76)-8.096*SIN(2*O76-2*Q76))*S76*S76+(-5.741*SIN(2*P76+2*Q76)+0.255*SIN(2*P76+Q76)-411.608*SIN(2*P76)+0.584*SIN(2*P76-Q76)-55.173*SIN(2*P76-2*Q76)+0.254*SIN(2*P76-3*Q76)+0.025*SIN(2*P76-4*Q76))*T76*T76</f>
        <v>-19664.118268055576</v>
      </c>
      <c r="V76" s="17">
        <f t="shared" ref="V76:V77" si="123">14.06*SIN(4*Q76)-4.01*SIN(3*Q76)+2373.36*SIN(2*Q76)-112.79*SIN(Q76)+(6.98*SIN(N76+4*Q76)+192.72*SIN(N76+2*Q76)-13.51*SIN(N76+Q76)+22609.07*SIN(N76)+3.59*SIN(N76-Q76)-4578.13*SIN(N76-2*Q76)+5.44*SIN(N76-3*Q76)-38.64*SIN(N76-4*Q76)-1.43*SIN(N76-6*Q76))*R76+(-1.59*SIN(O76+4*Q76)-25.1*SIN(O76+2*Q76)+17.93*SIN(O76+Q76)-126.98*SIN(O76)+0.32*SIN(O76-Q76)-165.06*SIN(O76-2*Q76)-6.46*SIN(O76-4*Q76))*S76+(1.02*SIN(2*N76+4*Q76)+14.78*SIN(2*N76+2*Q76)-1.2*SIN(2*N76+Q76)+767.96*SIN(2*N76)+2.01*SIN(2*N76-Q76)-152.53*SIN(2*N76-2*Q76)+0.91*SIN(2*N76-3*Q76)-34.07*SIN(2*N76-4*Q76)-1.4*SIN(2*N76-6*Q76))*R76*R76+(-11.75*SIN(N76+O76+2*Q76)+1.52*SIN(N76+O76+Q76)-115.18*SIN(N76+O76)-182.36*SIN(N76+O76-2*Q76)+0.36*SIN(N76+O76-3*Q76)-9.66*SIN(N76+O76-4*Q76)+1.53*SIN(N76-O76+4*Q76)+31.7*SIN(N76-O76+2*Q76)+138.76*SIN(N76-O76)+0.55*SIN(N76-O76-Q76)+23.59*SIN(N76-O76-2*Q76)-0.38*SIN(N76-O76-3*Q76)+2.27*SIN(N76-O76-4*Q76))*R76*S76+(-1.68*SIN(2*O76+2*Q76)-0.66*SIN(2*O76)-16.35*SIN(2*O76-2*Q76))*S76*S76+(-0.04*SIN(2*P76+2*Q76)-0.2*SIN(2*P76)+0.84*SIN(2*P76-Q76)-52.14*SIN(2*P76-2*Q76)+0.25*SIN(2*P76-3*Q76)-1.67*SIN(2*P76-4*Q76))*T76*T76</f>
        <v>-19632.059308991949</v>
      </c>
      <c r="W76" s="17">
        <f t="shared" ref="W76:W77" si="124">-0.001*COS(4*Q76)+0.394*COS(3*Q76)+0.601*COS(2*Q76)-0.725*COS(Q76)+(-0.445*COS(N76+4*Q76)+0.029*COS(N76+2*Q76)+0.455*COS(N76+Q76)+0.079*COS(N76)-0.094*COS(N76-Q76)-0.077*COS(N76-2*Q76)+0.192*COS(N76-3*Q76)+0.001*COS(N76-4*Q76)-0.092*COS(N76-6*Q76))*R76+(0.123*COS(O76+4*Q76)+0.04*COS(O76+2*Q76)+0.007*COS(O76+Q76)-1.302*COS(O76)-0.001*COS(O76-Q76)+0.054*COS(O76-2*Q76)-0.416*COS(O76-4*Q76))*S76+(-0.074*COS(2*N76+4*Q76)-0.017*COS(2*N76+2*Q76)+0.054*COS(2*N76+Q76)+0.107*COS(2*N76)-0.018*COS(2*N76-Q76)+5.679*COS(2*N76-2*Q76)-0.03*COS(2*N76-3*Q76)-0.308*COS(2*N76-4*Q76)-0.074*COS(2*N76-6*Q76))*R76*R76+(0.787*COS(N76+O76+2*Q76)-0.022*COS(N76+O76+Q76)+0.461*COS(N76+O76)+2.056*COS(N76+O76-2*Q76)+0.012*COS(N76+O76-3*Q76)-0.471*COS(N76+O76-4*Q76)-0.111*COS(N76-O76+4*Q76)-1.54*COS(N76-O76+2*Q76)+0.679*COS(N76-O76)+0.021*COS(N76-O76-Q76)-0.443*COS(N76-O76-2*Q76)-0.006*COS(N76-O76-3*Q76)+0.146*COS(N76-O76-4*Q76))*R76*S76+(0.131*COS(2*O76+2*Q76)-0.037*COS(2*O76)-0.74*COS(2*O76-2*Q76))*S76*S76</f>
        <v>-3.0573059578957973</v>
      </c>
      <c r="X76" s="17">
        <f t="shared" ref="X76:X77" si="125">0.2607*COS(4*Q76)+0.0023*COS(3*Q76)+28.2333*COS(2*Q76)-0.9781*COS(Q76)+(0.0433*COS(N76+4*Q76)+3.0861*COS(N76+2*Q76)-0.1093*COS(N76+Q76)+186.5398*COS(N76)+0.0118*COS(N76-Q76)+34.3117*COS(N76-2*Q76)-0.0386*COS(N76-3*Q76)+0.6008*COS(N76-4*Q76)+0.0086*COS(N76-6*Q76))*R76+(-0.0053*COS(O76+4*Q76)-0.3*COS(O76+2*Q76)+0.1494*COS(O76+Q76)-0.3997*COS(O76)-0.0037*COS(O76-Q76)+1.9178*COS(O76-2*Q76)+0.0339*COS(O76-4*Q76))*S76+(0.0054*COS(2*N76+4*Q76)+0.2833*COS(2*N76+2*Q76)-0.01*COS(2*N76+Q76)+10.1657*COS(2*N76)+0.0155*COS(2*N76-Q76)-0.3039*COS(2*N76-2*Q76)-0.0088*COS(2*N76-3*Q76)+0.3722*COS(2*N76-4*Q76)+0.0109*COS(2*N76-6*Q76))*R76*R76+(-0.0484*COS(N76+O76+2*Q76)+0.0164*COS(N76+O76+Q76)-0.949*COS(N76+O76)+1.4437*COS(N76+O76-2*Q76)-0.0025*COS(N76+O76-3*Q76)+0.0673*COS(N76+O76-4*Q76)+0.006*COS(N76-O76+4*Q76)+0.2302*COS(N76-O76+2*Q76)+1.1528*COS(N76-O76)-0.2257*COS(N76-O76-2*Q76)-0.0036*COS(N76-O76-3*Q76)-0.0102*COS(N76-O76-4*Q76))*R76*S76+(-0.0028*COS(2*O76+2*Q76)-0.0086*COS(2*O76)+0.0918*COS(2*O76-2*Q76))*S76*S76+(-0.0009*COS(2*P76+2*Q76)-0.0124*COS(2*P76)+0.0071*COS(2*P76-Q76)-0.1052*COS(2*P76-2*Q76)-0.0017*COS(2*P76-3*Q76)+0.0031*COS(2*P76-4*Q76))*T76*T76</f>
        <v>-1.3370035747906301</v>
      </c>
      <c r="Y76" s="17">
        <f t="shared" ref="Y76:Y77" si="126">U76+(1.06*SIN(3*N76+2*Q76)+36.124*SIN(3*N76)-13.193*SIN(3*N76-2*Q76)-1.187*SIN(3*N76-4*Q76)-0.293*SIN(3*N76-6*Q76))*R76*R76*R76+(-0.29*SIN(2*N76+O76+2*Q76)-7.649*SIN(2*N76+O76)-8.627*SIN(2*N76+O76-2*Q76)-2.74*SIN(2*N76+O76-4*Q76)+1.181*SIN(2*N76-O76+2*Q76)+9.703*SIN(2*N76-O76)-0.352*SIN(2*N76-O76-Q76)-2.494*SIN(2*N76-O76-2*Q76)+0.36*SIN(2*N76-O76-4*Q76))*R76*R76*S76+(-1.167*SIN(N76+2*O76)-7.412*SIN(N76+2*O76-2*Q76)-0.311*SIN(N76+2*O76-4*Q76)+0.757*SIN(N76-2*O76+2*Q76)+2.58*SIN(N76-2*O76)+2.533*SIN(N76-2*O76-2*Q76))*R76*S76*S76-0.344*SIN(3*O76-2*Q76)*S76*S76*S76+(-0.992*SIN(N76+2*P76+2*Q76)-45.099*SIN(N76+2*P76)-0.179*SIN(N76+2*P76-2*Q76)-0.301*SIN(N76+2*P76-4*Q76)-6.382*SIN(N76-2*P76+2*Q76)+39.528*SIN(N76-2*P76)+9.366*SIN(N76-2*P76-2*Q76)+0.202*SIN(N76-2*P76-4*Q76))*R76*T76*T76+(0.415*SIN(O76+2*P76)-2.152*SIN(O76+2*P76-2*Q76)-1.44*SIN(O76-2*P76+2*Q76)+0.384*SIN(O76-2*P76-2*Q76))*S76*T76*T76+(1.938*SIN(4*N76)-0.952*SIN(4*N76-2*Q76))*R76*R76*R76*R76+(-0.551*SIN(3*N76+O76)-0.482*SIN(3*N76+O76-2*Q76)+0.681*SIN(3*N76-O76))*R76*R76*R76*S76+(-0.297*SIN(2*N76+2*O76-2*Q76)+0.254*SIN(2*N76-2*O76-2*Q76))*R76*R76*S76*S76-0.25*SIN(N76+3*O76-2*Q76)*R76*S76*S76*S76+(-3.996*SIN(2*N76+2*P76)+0.557*SIN(2*N76+2*P76-2*Q76)-0.459*SIN(2*N76-2*P76+2*Q76)-1.298*SIN(2*N76-2*P76)+0.538*SIN(2*N76-2*P76-2*Q76))*R76*R76*T76*T76+(0.263*SIN(N76+O76+2*P76)+0.426*SIN(N76+O76-2*P76-2*Q76)-0.304*SIN(N76-O76+2*P76)-0.372*SIN(N76-O76-2*P76+2*Q76))*R76*S76*T76*T76+0.418*SIN(4*P76)*T76*T76*T76*T76-0.33*SIN(3*N76+2*P76)*R76*R76*R76*T76*T76</f>
        <v>-19660.327186424624</v>
      </c>
      <c r="Z76" s="17">
        <f t="shared" ref="Z76:Z77" si="127">V76+(2.96*SIN(3*N76+2*Q76)+50.64*SIN(3*N76)-16.4*SIN(3*N76-2*Q76)-0.74*SIN(3*N76-4*Q76)-0.31*SIN(3*N76-6*Q76))*R76*R76*R76+(-1.45*SIN(2*N76+O76+2*Q76)-10.56*SIN(2*N76+O76)-7.59*SIN(2*N76+O76-2*Q76)-2.54*SIN(2*N76+O76-4*Q76)+3.32*SIN(2*N76-O76+2*Q76)+11.67*SIN(2*N76-O76)-0.37*SIN(2*N76-O76-Q76)-1.17*SIN(2*N76-O76-2*Q76)+0.2*SIN(2*N76-O76-4*Q76))*R76*R76*S76+(-1.25*SIN(N76+2*O76)-6.12*SIN(N76+2*O76-2*Q76)-0.65*SIN(N76+2*O76-4*Q76)+1.82*SIN(N76-2*O76+2*Q76)+2.32*SIN(N76-2*O76)+2.4*SIN(N76-2*O76-2*Q76))*R76*S76*S76-0.57*SIN(3*O76-2*Q76)*S76*S76*S76+(-0.02*SIN(N76+2*P76+2*Q76)-0.02*SIN(N76+2*P76)-9.52*SIN(N76+2*P76-2*Q76)-0.33*SIN(N76+2*P76-4*Q76)-3.37*SIN(N76-2*P76+2*Q76)+85.13*SIN(N76-2*P76)+0.71*SIN(N76-2*P76-2*Q76)+0.02*SIN(N76-2*P76-4*Q76))*R76*T76*T76+(0.1*SIN(O76+2*P76)-2.26*SIN(O76+2*P76-2*Q76)-1.3*SIN(O76-2*P76+2*Q76)-0.04*SIN(O76-2*P76-2*Q76))*S76*T76*T76+(3.6*SIN(4*N76)-1.58*SIN(4*N76-2*Q76))*R76*R76*R76*R76+(-0.94*SIN(3*N76+O76)-0.57*SIN(3*N76+O76-2*Q76)+0.96*SIN(3*N76-O76))*R76*R76*R76*S76+(-0.27*SIN(2*N76+2*O76-2*Q76)+0.21*SIN(2*N76-2*O76-2*Q76))*R76*R76*S76*S76-0.22*SIN(N76+3*O76-2*Q76)*R76*S76*S76*S76+(-0.75*SIN(2*N76+2*P76-2*Q76)-0.38*SIN(2*N76-2*P76+2*Q76)+0.74*SIN(2*N76-2*P76)+1.14*SIN(2*N76-2*P76-2*Q76))*R76*R76*T76*T76+(0.02*SIN(N76+O76+2*P76)+0.07*SIN(N76+O76-2*P76-2*Q76)+0.03*SIN(N76-O76+2*P76)-0.19*SIN(N76-O76-2*P76+2*Q76))*R76*S76*T76*T76-0.04*SIN(3*N76+2*P76)*R76*R76*R76*T76*T76</f>
        <v>-19608.075893780842</v>
      </c>
      <c r="AA76" s="17">
        <f t="shared" ref="AA76:AA77" si="128">W76+(-0.166*COS(3*N76+2*Q76)-1.3*COS(3*N76)+0.258*COS(3*N76-2*Q76)+0.042*COS(3*N76-4*Q76)-0.002*COS(3*N76-6*Q76))*R76*R76*R76+(0.116*COS(2*N76+O76+2*Q76)+0.259*COS(2*N76+O76)+0.078*COS(2*N76+O76-2*Q76)+0.022*COS(2*N76+O76-4*Q76)-0.212*COS(2*N76-O76+2*Q76)-0.151*COS(2*N76-O76)+0.001*COS(2*N76-O76-Q76)-0.003*COS(2*N76-O76-2*Q76)-0.012*COS(2*N76-O76-4*Q76))*R76*R76*S76+(0.008*COS(N76+2*O76)+0.117*COS(N76+2*O76-2*Q76)-0.032*COS(N76+2*O76-4*Q76)-0.105*COS(N76-2*O76+2*Q76)+0.027*COS(N76-2*O76)-0.014*COS(N76-2*O76-2*Q76))*R76*S76*S76-0.025*COS(3*O76-2*Q76)*S76*S76*S76+(-0.145*COS(4*N76)+0.052*COS(4*N76-2*Q76))*R76*R76*R76*R76+(0.032*COS(3*N76+O76)+0.005*COS(3*N76+O76-2*Q76)-0.026*COS(3*N76-O76))*R76*R76*R76*S76+(0.002*COS(2*N76+2*O76-2*Q76)-0.003*COS(2*N76-2*O76-2*Q76))*R76*R76*S76*S76+0.004*COS(N76+3*O76-2*Q76)*R76*S76*S76*S76</f>
        <v>-2.1173175252029663</v>
      </c>
      <c r="AB76" s="17">
        <f t="shared" ref="AB76:AB77" si="129">X76+(0.0243*COS(3*N76+2*Q76)+0.6215*COS(3*N76)-0.1187*COS(3*N76-2*Q76)+0.0074*COS(3*N76-4*Q76)+0.0046*COS(3*N76-6*Q76))*R76*R76*R76+(-0.0051*COS(2*N76+O76+2*Q76)-0.1038*COS(2*N76+O76)-0.0192*COS(2*N76+O76-2*Q76)+0.0324*COS(2*N76+O76-4*Q76)+0.0213*COS(2*N76-O76+2*Q76)+0.1268*COS(2*N76-O76)-0.0028*COS(2*N76-O76-Q76)-0.0017*COS(2*N76-O76-2*Q76)-0.0043*COS(2*N76-O76-4*Q76))*R76*R76*S76+(-0.0106*COS(N76+2*O76)+0.0484*COS(N76+2*O76-2*Q76)+0.0044*COS(N76+2*O76-4*Q76)+0.0112*COS(N76-2*O76+2*Q76)+0.0196*COS(N76-2*O76)-0.0212*COS(N76-2*O76-2*Q76))*R76*S76*S76+0.0036*COS(3*O76-2*Q76)*S76*S76*S76+(-0.001*COS(N76+2*P76)-0.0833*COS(N76+2*P76-2*Q76)+0.0014*COS(N76+2*P76-4*Q76)-0.0481*COS(N76-2*P76+2*Q76)-0.7136*COS(N76-2*P76)-0.0112*COS(N76-2*P76-2*Q76))*R76*T76*T76+(0.0013*COS(O76+2*P76)-0.0066*COS(O76+2*P76-2*Q76)+0.0014*COS(O76-2*P76+2*Q76))*S76*T76*T76+(0.0401*COS(4*N76)-0.013*COS(4*N76-2*Q76))*R76*R76*R76*R76+(-0.0097*COS(3*N76+O76)-0.0045*COS(3*N76+O76-2*Q76)+0.0115*COS(3*N76-O76))*R76*R76*R76*S76-0.0009*COS(2*N76+2*O76-2*Q76)*R76*R76*S76*S76+0.0014*COS(N76+3*O76-2*Q76)*R76*S76*S76*S76+(0.0004*COS(2*N76+2*P76)-0.009*COS(2*N76+2*P76-2*Q76)-0.0053*COS(2*N76-2*P76+2*Q76)+0.0004*COS(2*N76-2*P76)-0.0141*COS(2*N76-2*P76-2*Q76))*R76*R76*T76*T76+(-0.0006*COS(N76+O76-2*P76-2*Q76)+0.0003*COS(N76-O76+2*P76)-0.0027*COS(N76-O76-2*P76+2*Q76))*R76*S76*T76*T76</f>
        <v>-1.0397467169666401</v>
      </c>
      <c r="AC76" s="17">
        <f t="shared" ref="AC76:AC77" si="130">(P76*180/PI()+Z76/3600)*PI()/180</f>
        <v>3.9209928343023801</v>
      </c>
      <c r="AD76" s="17">
        <f>(MOD(2*PI()*(0.60643382+(-0.00000313*B76+1336.85522467)*B76)+(0.84*SIN(2*PI()*(0.19833+0.05611*B76))+0.31*SIN(2*PI()*(0.27869+0.04508*B76))+14.27*SIN(2*PI()*(0.16827-0.36903*B76))+7.26*SIN(2*PI()*(0.34734-5.37261*B76))+0.28*SIN(2*PI()*(0.10498-5.37899*B76))+0.24*SIN(2*PI()*(0.42681-0.41855*B76)))*PI()/648000,2*PI())*180/PI()+(Y76+(0.82*SIN(2*PI()*(0.7736-62.5512*B76))+0.31*SIN(2*PI()*(0.0466-125.1025*B76))+0.35*SIN(2*PI()*(0.5785-25.1042*B76))+0.66*SIN(2*PI()*(0.4591+1335.8075*B76))+0.64*SIN(2*PI()*(0.313-91.568*B76))+1.14*SIN(2*PI()*(0.148+1331.2898*B76))+0.21*SIN(2*PI()*(0.5918+1056.5859*B76))+0.44*SIN(2*PI()*(0.5784+1322.8595*B76))+0.24*SIN(2*PI()*(0.2275-5.7374*B76))+0.28*SIN(2*PI()*(0.2965+2.6929*B76))+0.33*SIN(2*PI()*(0.3132+6.3368*B76)))+(I76*6480000000/PI())/10000)/3600)*PI()/180</f>
        <v>4.3540053728379382</v>
      </c>
      <c r="AE76" s="17">
        <f>((1.000002708+139.978*((SIN(2*PI()*(0.59734-5.37261*B76))*-3332+SIN(2*PI()*(0.35498-5.37899*B76))*-539+SIN(2*PI()*(0.39943-5.37511*B76))*-64)/1000000000))*(18519.7+AA76)*SIN(AC76)-6.24*SIN(3*AC76)+(-526.069*SIN(P76-2*Q76)-3.352*SIN(P76-4*Q76))*T76+(44.297*SIN(N76+P76-2*Q76)-6*SIN(N76+P76-4*Q76)+20.599*SIN(-N76+P76)-30.598*SIN(-N76+P76-2*Q76))*R76*T76+(-24.649*SIN(-2*N76+P76)-2*SIN(-2*N76+P76-2*Q76))*R76*R76*T76+(-22.571*SIN(O76+P76-2*Q76)+10.985*SIN(-O76+P76-2*Q76))*S76*T76)*PI()/648000</f>
        <v>-6.4861745200532631E-2</v>
      </c>
      <c r="AF76" s="17">
        <f t="shared" ref="AF76:AF77" si="131">ASIN(0.999953253*(3422.7+AB76)*PI()/648000)</f>
        <v>1.6588662369284614E-2</v>
      </c>
      <c r="AG76" s="17">
        <f t="shared" ref="AG76:AG77" si="132">0.2725076*AF76</f>
        <v>4.5205365694640639E-3</v>
      </c>
      <c r="AH76" s="17">
        <f t="shared" ref="AH76:AH77" si="133">MOD(ATAN2(COS(AD76)*COS(AE76),COS(M76)*SIN(AD76)*COS(AE76)-SIN(M76)*SIN(AE76)),2*PI())</f>
        <v>4.3139957633333896</v>
      </c>
      <c r="AI76" s="17">
        <f t="shared" ref="AI76:AI77" si="134">ASIN(SIN(M76)*SIN(AD76)*COS(AE76)+COS(M76)*SIN(AE76))</f>
        <v>-0.44579853479631393</v>
      </c>
      <c r="AJ76" s="17">
        <f t="shared" ref="AJ76:AJ77" si="135">AD76*180/PI()</f>
        <v>249.4661318408983</v>
      </c>
      <c r="AK76" s="17">
        <f t="shared" ref="AK76:AK77" si="136">AE76*180/PI()</f>
        <v>-3.716304251843443</v>
      </c>
      <c r="AL76" s="4">
        <f t="shared" ref="AL76:AL77" si="137">B76</f>
        <v>0.23794775268081222</v>
      </c>
      <c r="AM76" s="8">
        <f>MOD((((0.064*AL76+31.31)*AL76+1717915922.633)*AL76+485866.733)/3600,360)*PI()/180</f>
        <v>4.945592077843977</v>
      </c>
      <c r="AN76" s="8">
        <f>MOD((((-0.012*AL76-0.577)*AL76+(99*1296000+1292581.224)*AL76)+1287099.804)/3600,360)*PI()/180</f>
        <v>4.9466263390060252</v>
      </c>
      <c r="AO76" s="8">
        <f>MOD((((0.011*AL76-13.257)*AL76+1739527263.137*AL76)+335778.877)/3600,360)*PI()/180</f>
        <v>4.016093334944002</v>
      </c>
      <c r="AP76" s="8">
        <f>MOD((((0.019*AL76-6.891)*AL76+1602961601.328*AL76)+1072261.307)/3600,360)*PI()/180</f>
        <v>0.84052311766525034</v>
      </c>
      <c r="AQ76" s="8">
        <f>MOD((((0.008*AL76+7.455)*AL76-6962890.539*AL76)+450160.28)/3600,360)*PI()/180</f>
        <v>0.43321931676925546</v>
      </c>
      <c r="AR76" s="7">
        <f>SIN(AQ76)*(-171996-174.2*AL76)+SIN(2*AQ76)*(2062+0.2*AL76)+SIN(2*(-AM76+AO76)+AQ76)*46+SIN(2*(AM76-AO76))*11+SIN(2*(-AM76+AO76+AQ76))*-3+SIN(AM76-AN76-AP76)*-3+SIN(2*(-AN76+AO76-AP76)+AQ76)*-2+SIN(2*(AM76-AO76)+AQ76)+SIN(2*(AO76-AP76+AQ76))*(-13187-1.6*AL76)+SIN(AN76)*(1426-3.4*AL76)+SIN(AN76+2*(AO76-AP76+AQ76))*(-517+1.2*AL76)+SIN(-AN76+2*(AO76-AP76+AQ76))*(217-0.5*AL76)+SIN(2*(AO76-AP76)+AQ76)*(129+0.1*AL76)+SIN(2*(AM76-AP76))*48+SIN(2*(AO76-AP76))*-22+SIN(2*AN76)*(17-0.1*AL76)+SIN(AN76+AQ76)*-15+SIN(2*(AN76+AO76-AP76+AQ76))*(-16+0.1*AL76)+SIN(-AN76+AQ76)*-12+SIN(2*(-AM76+AP76)+AQ76)*-6+SIN(-AN76+2*(AO76-AP76)+AQ76)*-5+SIN(2*(AM76-AP76)+AQ76)*4+SIN(2*(AO76-AP76)+AQ76)*4+SIN(AM76-AP76)*-4+SIN(2*(AM76-AP76)+AN76)+SIN(2*(-AO76+AP76)+AQ76)-SIN(AN76+2*(-AO76+AP76))+SIN(AN76+2*AQ76)+SIN(-AM76+AP76+AQ76)-SIN(AN76+2*(AO76-AP76))+SIN(2*AO76+2*AQ76)*(-2274-0.2*AL76)+SIN(AM76)*(712+0.1*AL76)+SIN(2*AO76+AQ76)*(-386-0.4*AL76)+SIN(AM76+2*(AO76+AQ76))*-301+SIN(AM76-2*AP76)*-158+SIN(-AM76+2*(AO76+AQ76))*123+SIN(2*AP76)*63+SIN(AM76+AQ76)*(63+0.1*AL76)+SIN(-AM76+AQ76)*(-58-0.1*AL76)+SIN(-AM76+2*(AO76+AP76+AQ76))*-59+SIN(AM76+2*AO76+AQ76)*-51+SIN(2*(AO76+AP76+AQ76))*-38+SIN(2*AM76)*29+SIN(AM76+2*(AO76-AP76+AQ76))*29+SIN(2*(AM76+AO76+AQ76))*-31+SIN(2*AO76)*26+SIN(-AM76+2*AO76+AQ76)*21+SIN(-AM76+2*AP76+AQ76)*16+SIN(AM76-2*AP76+AQ76)*-13+SIN(-AM76+2*(AO76+AP76)+AQ76)*-10+SIN(AM76+AN76-2*AP76)*-7+SIN(AN76+2*(AO76+AQ76))*7+SIN(-AN76+2*(AO76+AQ76))*-7</f>
        <v>-84685.96233010701</v>
      </c>
      <c r="AS76" s="8">
        <f>(AR76+SIN(AM76+2*(AO76+AP76+AQ76))*-8+SIN(AM76+2*AP76)*6+SIN(2*(AM76+AO76-AP76+AQ76))*6+SIN(2*AP76+AQ76)*-6+SIN(2*(AO76+AP76)+AQ76)*-7+SIN(AM76+2*(AO76-AP76)+AQ76)*6+SIN(-2*AP76+AQ76)*-5+SIN(AM76-AN76)*5+SIN(2*(AM76+AO76)+AQ76)*-5+SIN(AN76-2*AP76)*-4+SIN(AM76-2*AO76)*4+SIN(AP76)*-4+SIN(AM76+AN76)*-3+SIN(AM76+2*AO76)*3+SIN(AM76-AN76+2*(AO76+AQ76))*-3+SIN(-AM76-AN76+2*(AO76+AP76+AQ76))*-3+SIN(-2*AM76+AQ76)*-2+SIN(3*AM76+2*(AO76+AQ76))*-3+SIN(-AN76+2*(AO76+AP76+AQ76))*-3+SIN(AM76+AN76+2*(AO76+AQ76))*2+SIN(-AM76+2*(AO76-AP76)+AQ76)*-2+SIN(2*AM76+AQ76)*2+SIN(AM76+2*AQ76)*-2+SIN(3*AM76)*2+SIN(2*(AO76+AQ76)+AP76)*2+SIN(-AM76+2*AQ76)-SIN(AM76-4*AP76)+SIN(2*(-AM76+AO76+AP76+AQ76))+SIN(-AM76+2*(AO76+2*AP76+AQ76))*-2-SIN(2*(AM76-2*AP76))+SIN(AM76+AN76+2*(AO76-AP76+AQ76))-SIN(AM76+2*(AO76+AP76)+AQ76)-SIN(2*(-AM76+AO76+2*AP76+AQ76))+SIN(-AM76+2*(2*AO76+AQ76))+SIN(AM76-AN76-2*AP76)+SIN(2*(AM76+AO76-AP76)+AQ76)-SIN(2*(AM76+AO76+AP76+AQ76))-SIN(AM76+2*AP76+AQ76)+SIN(2*(2*AO76-AP76+AQ76))+SIN(3*AM76+2*(AO76-AP76+AQ76))-SIN(AM76+2*(AO76-AP76))+SIN(AN76+2*AO76+AQ76)+SIN(-AM76-AN76+2*AP76+AQ76)-SIN(-2*AO76+AQ76)-SIN(2*AO76-AP76+2*AQ76)-SIN(AN76+2*AP76)-SIN(AM76+2*(-AO76-AP76))-SIN(-AN76+2*AO76+AQ76)-SIN(AM76+AN76-2*AP76+AQ76)-SIN(AM76+2*(-AO76+AP76))+SIN(2*(AM76+AP76))-SIN(2*(AO76+2*AP76+AQ76))+SIN(AN76+AP76))/6480000000*PI()</f>
        <v>-4.1062892479811816E-5</v>
      </c>
      <c r="AT76" s="7">
        <f>COS(AQ76)*(92025+8.9*AL76)+COS(2*AQ76)*(-895+0.5*AL76)+COS(2*(-AM76+AO76)+AQ76)*-24+COS(2*(-AM76+AO76+AQ76))+COS(2*(-AN76+AO76-AP76)+AQ76)+COS(2*(AO76-AP76+AQ76))*(5736-3.1*AL76)+COS(AN76)*(54-0.1*AL76)+COS(AN76+2*(AO76-AP76+AQ76))*(224-0.6*AL76)+COS(-AN76+2*(AO76-AP76+AQ76))*(-95-0.3*AL76)+COS(2*(AO76-AP76)+AQ76)*-70+COS(2*(AM76-AP76))+COS(AN76+AQ76)*9+COS(2*(AN76+AO76-AP76+AQ76))*7+COS(-AN76+AQ76)*6+COS(2*(-AM76+AP76)+AQ76)*3+COS(-AN76+2*(AO76-AP76)+AQ76)*3+COS(2*(AM76-AP76)+AQ76)*-2+COS(AN76+2*(AO76-AP76)+AQ76)*-2+COS(PI()/2)+COS(PI()/2)+COS(PI()/2)+COS(PI()/2)+COS(PI()/2)+COS(PI()/2)+COS(2*AO76+2*AQ76)*(977-0.5*AL76)+COS(AM76)*-7+COS(2*AO76+AQ76)*200+COS(AM76+2*(AO76+AQ76))*(129-0.1*AL76)-COS(AM76-2*AP76)+COS(-AM76+2*(AO76+AQ76))*-53+COS(2*AP76)*-2+COS(AM76+AQ76)*-33+COS(-AM76+AQ76)*32+COS(-AM76+2*(AO76+AP76+AQ76))*26+COS(AM76+2*AO76+AQ76)*27+COS(2*(AO76+AP76+AQ76))*16-COS(2*AM76)+COS(AM76+2*(AO76-AP76+AQ76))*-12+COS(2*(AM76+AO76+AQ76))*13-COS(2*AO76)+COS(-AM76+2*AO76+AQ76)*-10+COS(-AM76+2*AP76+AQ76)*-8+COS(AM76-2*AP76+AQ76)*7+COS(-AM76+2*(AO76+AP76)+AQ76)*5+COS(AN76+2*(AO76+AQ76))*-3+COS(-AN76+2*(AO76+AQ76))*3</f>
        <v>85704.018752034317</v>
      </c>
      <c r="AU76" s="8">
        <f>(AT76+COS(AM76+2*(AO76+AP76+AQ76))*3+COS(2*(AM76+AO76-AP76+AQ76))*-3+COS(2*AP76+AQ76)*3+COS(2*(AO76+AP76)+AQ76)*3+COS(AM76+2*(AO76-AP76)+AQ76)*-3+COS(-2*AP76+AQ76)*3+COS(2*(AM76+AO76)+AQ76)*3+COS(AM76-AN76+2*(AO76+AQ76))+COS(-AM76-AN76+2*(AO76+AP76+AQ76))+COS(-2*AM76+AQ76)+COS(3*AM76+2*(AO76+AQ76))+COS(-AN76+2*(AO76+AP76+AQ76))-COS(AM76+AN76+2*(AO76+AQ76))+COS(-AM76+2*(AO76-AP76)+AQ76)-COS(2*AM76+AQ76)+COS(AM76+2*AQ76)-COS(2*(AO76+AQ76)+AP76)-COS(-AM76+2*AQ76)-COS(2*(-AM76+AO76+AP76+AQ76))+COS(-AM76+2*(AO76+2*AP76+AQ76))-COS(AM76+AN76+2*(AO76-AP76+AQ76))+COS(AM76+2*(AO76+AP76)+AQ76)+COS(2*(-AM76+AO76+2*AP76+AQ76))-COS(2*(AM76+AO76-AP76)+AQ76))/6480000000*PI()</f>
        <v>4.1548518637339648E-5</v>
      </c>
      <c r="AV76" s="8">
        <f>(((((((((((245*AL76/100+579)*AL76/100+2787)*AL76/100+712)*AL76/100-3905)*AL76/100-24967)*AL76/100-5138)*AL76/1007+199925)*AL76/100-155)*AL76/100-468093)*AL76/100+158144.8)/360000+23)*PI()/180</f>
        <v>0.40903880494933775</v>
      </c>
      <c r="AW76" s="8">
        <f>MOD((((-AL76/113065000+1/545868)*AL76-0.0018819)*AL76+445267.1114034)*AL76+297.8501921,360)*PI()/180</f>
        <v>0.84052590083006917</v>
      </c>
      <c r="AX76" s="8">
        <f>MOD(((AL76/24490000-0.0001536)*AL76+35999.0502909)*AL76+357.5291092,360)*PI()/180</f>
        <v>4.9466508401780587</v>
      </c>
      <c r="AY76" s="8">
        <f>MOD((((-AL76/14712000+1/69699)*AL76+0.0087414)*AL76+477198.8675055)*AL76+134.9633964,360)*PI()/180</f>
        <v>4.9455998102138068</v>
      </c>
      <c r="AZ76" s="8">
        <f>MOD((((AL76/863310000-1/3526000)*AL76-0.0036539)*AL76+483202.0175233)*AL76+93.272095,360)*PI()/180</f>
        <v>4.0161081771594453</v>
      </c>
      <c r="BA76" s="103">
        <f>(-0.0000074*AL76-0.002516)*AL76+1</f>
        <v>0.99940090447267083</v>
      </c>
      <c r="BB76" s="8">
        <f>MOD((((-AL76/65194000+1/538841)*AL76-0.0015786)*AL76+481267.88123421)*AL76+218.3164477,360)*PI()/180</f>
        <v>4.4493178668437885</v>
      </c>
      <c r="BC76" s="8">
        <f>MOD(131.849*AL76+119.75,350)*PI()/180</f>
        <v>2.6375969491558542</v>
      </c>
      <c r="BD76" s="7">
        <f>SIN(AY76)*6288774+SIN(2*AW76-AY76)*1274027+SIN(2*AW76)*658314+SIN(2*AY76)*213618+SIN(AX76)*-185116*BA76+SIN(2*AZ76)*-114332+SIN(2*(AW76-AY76))*58793+SIN(2*AW76-AX76-AY76)*57066*BA76+SIN(2*AW76+AY76)*53322+SIN(2*AW76-AX76)*45758*BA76+SIN(AX76-AY76)*-40923*BA76+SIN(AW76)*-34720+SIN(AX76+AY76)*-30383*BA76+SIN(2*(AW76-AZ76))*15327+SIN(AY76+2*AZ76)*-12528+SIN(AY76-2*AZ76)*10980+SIN(4*AW76-AY76)*10675+SIN(3*AY76)*10034+SIN(2*(2*AW76-AY76))*8548+SIN(2*AW76+AX76-AY76)*-7888*BA76+SIN(2*AW76+AX76)*-6766*BA76+SIN(AW76-AY76)*-5163+SIN(AW76+AX76)*4987*BA76+SIN(2*AW76-AX76+AY76)*4036*BA76+SIN(2*(AW76+AY76))*3994+SIN(4*AW76)*3861+SIN(2*AW76-3*AY76)*3665+SIN(AX76-2*AY76)*-2689*BA76+SIN(2*(AW76+AZ76)-AY76)*-2602+SIN(2*(AW76-AY76)-AX76)*2390*BA76+SIN(AW76+AY76)*-2348+SIN(2*(AW76-AX76))*2236*BA76*BA76+SIN(AX76+2*AY76)*-2120*BA76+SIN(2*AX76)*-2069*BA76*BA76+SIN(2*(AW76-AX76)-AY76)*2048*BA76*BA76+SIN(2*(AW76-AZ76)+AY76)*-1773+SIN(2*(AW76+AZ76))*-1595+SIN(4*AW76-AX76-AY76)*1215*BA76+SIN(2*(AY76+AZ76))*-1110+SIN(3*AW76-AY76)*-892+SIN(2*AW76+AX76+AY76)*-810*BA76+SIN(4*AW76-AX76-2*AY76)*759*BA76+SIN(2*AX76-AY76)*-713*BA76*BA76+SIN(2*(AW76+AX76)-AY76)*-700*BA76*BA76+SIN(2*(AW76-AY76)+AX76)*691*BA76+SIN(2*(AW76-AZ76)-AX76)*596*BA76+SIN(4*AW76+AY76)*549+SIN(4*AY76)*537+SIN(4*AW76-AX76)*520*BA76+SIN(AW76-2*AY76)*-487+SIN(2*(AW76-AZ76)+AX76)*-399*BA76+SIN(2*(AY76-AZ76))*-381+SIN(AW76+AX76+AY76)*351*BA76+SIN(3*AW76-2*AY76)*-340+SIN(4*AW76-3*AY76)*330+SIN(2*(AW76+AY76)-AX76)*327*BA76+SIN(2*AX76+AY76)*-323*BA76*BA76+SIN(AW76+AX76-AY76)*299*BA76+SIN(2*AW76+3*AY76)*294</f>
        <v>-5461992.6343712946</v>
      </c>
      <c r="BE76" s="7">
        <f>SIN(AZ76)*5128122+SIN(AY76+AZ76)*280602+SIN(AY76-AZ76)*277693+SIN(2*AW76-AZ76)*173237+SIN(2*AW76-AY76+AZ76)*55413+SIN(2*AW76-AY76-AZ76)*46271+SIN(2*AW76+AZ76)*32573+SIN(2*AY76+AZ76)*17198+SIN(2*AW76+AY76-AZ76)*9266+SIN(2*AY76-AZ76)*8822+SIN(2*AW76-AX76-AZ76)*8216*BA76+SIN(2*(AW76-AY76)-AZ76)*4324+SIN(2*AW76+AY76+AZ76)*4200+SIN(2*AW76+AX76-AZ76)*-3359*BA76+SIN(2*AW76-AX76-AY76+AZ76)*2463*BA76+SIN(2*AW76-AX76+AZ76)*2211*BA76+SIN(2*AW76-AX76-AY76-AZ76)*2065*BA76+SIN(AX76-AY76-AZ76)*-1870*BA76+SIN(4*AW76-AY76-AZ76)*1828+SIN(AX76+AZ76)*-1794*BA76+SIN(3*AZ76)*-1749+SIN(AX76-AY76+AZ76)*-1565*BA76+SIN(AW76+AZ76)*-1491+SIN(AX76+AY76+AZ76)*-1475*BA76+SIN(AX76+AY76-AZ76)*-1410*BA76+SIN(AX76-AZ76)*-1344*BA76+SIN(AW76-AZ76)*-1335+SIN(3*AY76+AZ76)*1107+SIN(4*AW76-AZ76)*1021+SIN(4*AW76-AY76+AZ76)*833</f>
        <v>-3719149.5510483733</v>
      </c>
      <c r="BF76" s="8">
        <f>AU76+AV76</f>
        <v>0.40908035346797511</v>
      </c>
      <c r="BG76" s="8">
        <f>MOD(BB76+(BD76+SIN(BC76)*3958+SIN(BB76-AZ76)*1962+SIN(MOD(479264.29*AL76+53.09,360)*PI()/180)*318)/1000000*PI()/180+AS76,2*PI())</f>
        <v>4.3539922604337953</v>
      </c>
      <c r="BH76" s="8">
        <f>(BE76+SIN(AY76-3*AZ76)*777+SIN(4*AW76-2*AY76+AZ76)*671+SIN(2*AW76-3*AZ76)*607+SIN(2*(AW76+AY76)-AZ76)*596+SIN(2*AW76-AX76+AY76-AZ76)*491*BA76+SIN(2*(AW76-AY76)+AZ76)*-451+SIN(3*AY76-AZ76)*439+SIN(2*(AW76+AY76)+AZ76)*422+SIN(2*AW76-3*AY76-AZ76)*421+SIN(2*AW76+AX76-AY76+AZ76)*-366*BA76+SIN(2*AW76+AX76+AZ76)*-351*BA76+SIN(4*AW76+AZ76)*331+SIN(2*AW76-AX76+AY76+AZ76)*315*BA76+SIN(2*(AW76-AX76)-AZ76)*302*BA76*BA76+SIN(AY76+3*AZ76)*-283+SIN(2*AW76+AX76+AY76-AZ76)*-229*BA76+SIN(AW76+AX76-AZ76)*223*BA76+SIN(AW76+AX76+AZ76)*223*BA76+SIN(AX76-2*AY76-AZ76)*-220*BA76+SIN(2*AW76+AX76-AY76-AZ76)*-220*BA76+SIN(AW76+AY76+AZ76)*-185+SIN(2*(AW76-AY76)-AX76-AZ76)*181*BA76+SIN(AX76+2*AY76+AZ76)*-177*BA76+SIN(4*AW76-2*AY76-AZ76)*176+SIN(4*AW76-AX76-AY76-AZ76)*166*BA76+SIN(AW76+AY76-AZ76)*-164+SIN(4*AW76+AY76-AZ76)*132+SIN(AW76-AY76-AZ76)*-119+SIN(4*AW76-AX76-AZ76)*115*BA76+SIN(2*(AW76-AX76)+AZ76)*107*BA76*BA76+SIN(BB76)*-2235+SIN(MOD(481266.484*AL76+313.45,360)*PI()/180)*382+SIN(BC76-AZ76)*175+SIN(BC76+AZ76)*175+SIN(BB76-AY76)*127+SIN(BB76+AY76)*-115)*PI()/180000000</f>
        <v>-6.485802383531912E-2</v>
      </c>
      <c r="BI76" s="104">
        <f>385000.56+(COS(AY76)*-20905355+COS(2*AW76-AY76)*-3699111+COS(2*AW76)*-2955968+COS(2*AY76)*-569925+COS(AX76)*48888*BA76+COS(2*AZ76)*-3149+COS(2*(AW76-AY76))*246158+COS(2*AW76-AX76-AY76)*-152138*BA76+COS(2*AW76+AY76)*-170733+COS(2*AW76-AX76)*-204586*BA76+COS(AX76-AY76)*-129620*BA76+COS(AW76)*108743+COS(AX76+AY76)*104755*BA76+COS(2*(AW76-AZ76))*10321+COS(AY76-2*AZ76)*79661+COS(4*AW76-AY76)*-34782+COS(3*AY76)*-23210+COS(2*(2*AW76-AY76))*-21636+COS(2*AW76+AX76-AY76)*24208*BA76+COS(2*AW76+AX76)*30824*BA76+COS(AW76-AY76)*-8379+COS(AW76+AX76)*-16675*BA76+COS(2*AW76-AX76+AY76)*-12831*BA76+COS(2*(AW76+AY76))*-10445+COS(4*AW76)*-11650+COS(2*AW76-3*AY76)*14403+COS(AX76-2*AY76)*-7003*BA76+COS(2*(AW76-AY76)-AX76)*10056*BA76+COS(AW76+AY76)*6322+COS(2*(AW76-AX76))*-9884*BA76*BA76+COS(AX76+2*AY76)*5751*BA76+COS(2*(AW76-AX76)-AY76)*-4950*BA76*BA76+COS(2*(AW76-AZ76)+AY76)*4130+COS(4*AW76-AX76-AY76)*-3958*BA76+COS(3*AW76-AY76)*3258+COS(2*AW76+AX76+AY76)*2616*BA76+COS(4*AW76-AX76-2*AY76)*-1897*BA76+COS(2*AX76-AY76)*-2117*BA76*BA76+COS(2*(AW76+AX76)-AY76)*2354*BA76*BA76+COS(4*AW76+AY76)*-1423+COS(4*AY76)*-1117+COS(4*AW76-AX76)*-1571*BA76+COS(AW76-2*AY76)*-1739+COS(2*(AY76-AZ76))*-4421+COS(2*AX76+AY76)*1165*BA76*BA76+COS(2*(AW76-AZ76)-AY76)*8752)/1000</f>
        <v>384515.6085971719</v>
      </c>
      <c r="BJ76" s="8">
        <f>IF(2*ATAN((-SIN(BH76)*SIN(BF76)+COS(BH76)*COS(BF76)*SIN(BG76))/(COS(BK76)+COS(BH76)*COS(BG76)))&lt;0,2*ATAN((-SIN(BH76)*SIN(BF76)+COS(BH76)*COS(BF76)*SIN(BG76))/(COS(BK76)+COS(BH76)*COS(BG76)))+2*PI(),2*ATAN((-SIN(BH76)*SIN(BF76)+COS(BH76)*COS(BF76)*SIN(BG76))/(COS(BK76)+COS(BH76)*COS(BG76))))</f>
        <v>4.313982073402256</v>
      </c>
      <c r="BK76" s="8">
        <f>ASIN(SIN(BH76)*COS(BF76)+COS(BH76)*SIN(BF76)*SIN(BG76))</f>
        <v>-0.44579283480651077</v>
      </c>
      <c r="BL76" s="8">
        <f>ASIN(6378.14/BI76)</f>
        <v>1.6588227833066512E-2</v>
      </c>
      <c r="BM76" s="8" t="str">
        <f>"T1 = "&amp;A76&amp;"h TDT"</f>
        <v>T1 = 13h TDT</v>
      </c>
      <c r="BN76" s="8"/>
      <c r="BO76" s="8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</row>
    <row r="77" spans="1:109" ht="17.25" hidden="1">
      <c r="A77" s="53">
        <f>A76+1</f>
        <v>14</v>
      </c>
      <c r="B77" s="19">
        <f>B47+A77/876600</f>
        <v>0.23794889345197351</v>
      </c>
      <c r="C77" s="8">
        <f t="shared" si="108"/>
        <v>4.9550932089129205</v>
      </c>
      <c r="D77" s="8">
        <f t="shared" si="109"/>
        <v>4.9473430877548532</v>
      </c>
      <c r="E77" s="8">
        <f t="shared" si="110"/>
        <v>4.0257139898538155</v>
      </c>
      <c r="F77" s="8">
        <f t="shared" si="111"/>
        <v>0.8493884805594536</v>
      </c>
      <c r="G77" s="8">
        <f t="shared" si="112"/>
        <v>0.43318080774601558</v>
      </c>
      <c r="H77" s="7">
        <f>SIN(G77)*(-171996-174.2*B77)+SIN(2*G77)*(2062+0.2*B77)+SIN(2*(-C77+E77)+G77)*46+SIN(2*(C77-E77))*11+SIN(2*(-C77+E77+G77))*-3+SIN(C77-D77-F77)*-3+SIN(2*(-D77+E77-F77)+G77)*-2+SIN(2*(C77-E77)+G77)+SIN(2*(E77-F77+G77))*(-13187-1.6*B77)+SIN(D77)*(1426-3.4*B77)+SIN(D77+2*(E77-F77+G77))*(-517+1.2*B77)+SIN(-D77+2*(E77-F77+G77))*(217-0.5*B77)+SIN(2*(E77-F77)+G77)*(129+0.1*B77)+SIN(2*(C77-F77))*48+SIN(2*(E77-F77))*-22+SIN(2*D77)*(17-0.1*B77)+SIN(D77+G77)*-15+SIN(2*(D77+E77-F77+G77))*(-16+0.1*B77)+SIN(-D77+G77)*-12+SIN(2*(-C77+F77)+G77)*-6+SIN(-D77+2*(E77-F77)+G77)*-5+SIN(2*(C77-F77)+G77)*4+SIN(2*(E77-F77)+G77)*4+SIN(C77-F77)*-4+SIN(2*(C77-F77)+D77)+SIN(2*(-E77+F77)+G77)-SIN(D77+2*(-E77+F77))+SIN(D77+2*G77)+SIN(-C77+F77+G77)-SIN(D77+2*(E77-F77))+SIN(2*E77+2*G77)*(-2274-0.2*B77)+SIN(C77)*(712+0.1*B77)+SIN(2*E77+G77)*(-386-0.4*B77)+SIN(C77+2*(E77+G77))*-301+SIN(C77-2*F77)*-158+SIN(-C77+2*(E77+G77))*123+SIN(2*F77)*63+SIN(C77+G77)*(63+0.1*B77)+SIN(-C77+G77)*(-58-0.1*B77)+SIN(-C77+2*(E77+F77+G77))*-59+SIN(C77+2*E77+G77)*-51+SIN(2*(E77+F77+G77))*-38+SIN(2*C77)*29+SIN(C77+2*(E77-F77+G77))*29+SIN(2*(C77+E77+G77))*-31+SIN(2*E77)*26+SIN(-C77+2*E77+G77)*21+SIN(-C77+2*F77+G77)*16+SIN(C77-2*F77+G77)*-13+SIN(-C77+2*(E77+F77)+G77)*-10+SIN(C77+D77-2*F77)*-7+SIN(D77+2*(E77+G77))*7+SIN(-D77+2*(E77+G77))*-7</f>
        <v>-84656.225896830656</v>
      </c>
      <c r="I77" s="8">
        <f>(H77+SIN(C77+2*(E77+F77+G77))*-8+SIN(C77+2*F77)*6+SIN(2*(C77+E77-F77+G77))*6+SIN(2*F77+G77)*-6+SIN(2*(E77+F77)+G77)*-7+SIN(C77+2*(E77-F77)+G77)*6+SIN(-2*F77+G77)*-5+SIN(C77-D77)*5+SIN(2*(C77+E77)+G77)*-5+SIN(D77-2*F77)*-4+SIN(C77-2*E77)*4+SIN(F77)*-4+SIN(C77+D77)*-3+SIN(C77+2*E77)*3+SIN(C77-D77+2*(E77+G77))*-3+SIN(-C77-D77+2*(E77+F77+G77))*-3+SIN(-2*C77+G77)*-2+SIN(3*C77+2*(E77+G77))*-3+SIN(-D77+2*(E77+F77+G77))*-3+SIN(C77+D77+2*(E77+G77))*2+SIN(-C77+2*(E77-F77)+G77)*-2+SIN(2*C77+G77)*2+SIN(C77+2*G77)*-2+SIN(3*C77)*2+SIN(2*(E77+G77)+F77)*2+SIN(-C77+2*G77)-SIN(C77-4*F77)+SIN(2*(-C77+E77+F77+G77))+SIN(-C77+2*(E77+2*F77+G77))*-2-SIN(2*(C77-2*F77))+SIN(C77+D77+2*(E77-F77+G77))-SIN(C77+2*(E77+F77)+G77)-SIN(2*(-C77+E77+2*F77+G77))+SIN(-C77+2*(2*E77+G77))+SIN(C77-D77-2*F77)+SIN(2*(C77+E77-F77)+G77)-SIN(2*(C77+E77+F77+G77))-SIN(C77+2*F77+G77)+SIN(2*(2*E77-F77+G77))+SIN(3*C77+2*(E77-F77+G77))-SIN(C77+2*(E77-F77))+SIN(D77+2*E77+G77)+SIN(-C77-D77+2*F77+G77)-SIN(-2*E77+G77)-SIN(2*E77-F77+2*G77)-SIN(D77+2*F77)-SIN(C77+2*(-E77-F77))-SIN(-D77+2*E77+G77)-SIN(C77+D77-2*F77+G77)-SIN(C77+2*(-E77+F77))+SIN(2*(C77+F77))-SIN(2*(E77+2*F77+G77))+SIN(D77+F77))*PI()/6480000000</f>
        <v>-4.1048223260101599E-5</v>
      </c>
      <c r="J77" s="7">
        <f>COS(G77)*(92025+8.9*B77)+COS(2*G77)*(-895+0.5*B77)+COS(2*(-C77+E77)+G77)*-24+COS(2*(-C77+E77+G77))+COS(2*(-D77+E77-F77)+G77)+COS(2*(E77-F77+G77))*(5736-3.1*B77)+COS(D77)*(54-0.1*B77)+COS(D77+2*(E77-F77+G77))*(224-0.6*B77)+COS(-D77+2*(E77-F77+G77))*(-95-0.3*B77)+COS(2*(E77-F77)+G77)*-70+COS(2*(C77-F77))+COS(D77+G77)*9+COS(2*(D77+E77-F77+G77))*7+COS(-D77+G77)*6+COS(2*(-C77+F77)+G77)*3+COS(-D77+2*(E77-F77)+G77)*3+COS(2*(C77-F77)+G77)*-2+COS(D77+2*(E77-F77)+G77)*-2+COS(PI()/2)+COS(PI()/2)+COS(PI()/2)+COS(PI()/2)+COS(PI()/2)+COS(PI()/2)+COS(2*E77+2*G77)*(977-0.5*B77)+COS(C77)*-7+COS(2*E77+G77)*200+COS(C77+2*(E77+G77))*(129-0.1*B77)-COS(C77-2*F77)+COS(-C77+2*(E77+G77))*-53+COS(2*F77)*-2+COS(C77+G77)*-33+COS(-C77+G77)*32+COS(-C77+2*(E77+F77+G77))*26+COS(C77+2*E77+G77)*27+COS(2*(E77+F77+G77))*16-COS(2*C77)+COS(C77+2*(E77-F77+G77))*-12+COS(2*(C77+E77+G77))*13-COS(2*E77)+COS(-C77+2*E77+G77)*-10+COS(-C77+2*F77+G77)*-8+COS(C77-2*F77+G77)*7+COS(-C77+2*(E77+F77)+G77)*5+COS(D77+2*(E77+G77))*-3+COS(-D77+2*(E77+G77))*3</f>
        <v>85683.400839158232</v>
      </c>
      <c r="K77" s="8">
        <f>(J77+COS(C77+2*(E77+F77+G77))*3+COS(2*(C77+E77-F77+G77))*-3+COS(2*F77+G77)*3+COS(2*(E77+F77)+G77)*3+COS(C77+2*(E77-F77)+G77)*-3+COS(-2*F77+G77)*3+COS(2*(C77+E77)+G77)*3+COS(C77-D77+2*(E77+G77))+COS(-C77-D77+2*(E77+F77+G77))+COS(-2*C77+G77)+COS(3*C77+2*(E77+G77))+COS(-D77+2*(E77+F77+G77))-COS(C77+D77+2*(E77+G77))+COS(-C77+2*(E77-F77)+G77)-COS(2*C77+G77)+COS(C77+2*G77)-COS(2*(E77+G77)+F77)-COS(-C77+2*G77)-COS(2*(-C77+E77+F77+G77))+COS(-C77+2*(E77+2*F77+G77))-COS(C77+D77+2*(E77-F77+G77))+COS(C77+2*(E77+F77)+G77)+COS(2*(-C77+E77+2*F77+G77))-COS(2*(C77+E77-F77)+G77))*PI()/6480000000</f>
        <v>4.1538442597071583E-5</v>
      </c>
      <c r="L77" s="8">
        <f t="shared" si="113"/>
        <v>0.40903880469045506</v>
      </c>
      <c r="M77" s="8">
        <f t="shared" si="114"/>
        <v>0.40908034313305214</v>
      </c>
      <c r="N77" s="17">
        <f t="shared" si="115"/>
        <v>4.9551598269955477</v>
      </c>
      <c r="O77" s="17">
        <f t="shared" si="116"/>
        <v>4.9472615763005479</v>
      </c>
      <c r="P77" s="17">
        <f t="shared" si="117"/>
        <v>4.025676140224526</v>
      </c>
      <c r="Q77" s="17">
        <f t="shared" si="118"/>
        <v>0.84948458389802539</v>
      </c>
      <c r="R77" s="17">
        <f t="shared" si="119"/>
        <v>1.0000022079999999</v>
      </c>
      <c r="S77" s="17">
        <f t="shared" si="120"/>
        <v>0.99691083718666662</v>
      </c>
      <c r="T77" s="17">
        <f t="shared" si="121"/>
        <v>0.99953894300306734</v>
      </c>
      <c r="U77" s="17">
        <f t="shared" si="122"/>
        <v>-19664.256659682367</v>
      </c>
      <c r="V77" s="17">
        <f t="shared" si="123"/>
        <v>-19633.723190045162</v>
      </c>
      <c r="W77" s="17">
        <f t="shared" si="124"/>
        <v>-2.9981639889365685</v>
      </c>
      <c r="X77" s="17">
        <f t="shared" si="125"/>
        <v>-5.2760180395088618E-2</v>
      </c>
      <c r="Y77" s="17">
        <f t="shared" si="126"/>
        <v>-19662.001161907196</v>
      </c>
      <c r="Z77" s="17">
        <f t="shared" si="127"/>
        <v>-19609.7952682988</v>
      </c>
      <c r="AA77" s="17">
        <f t="shared" si="128"/>
        <v>-2.033769861598886</v>
      </c>
      <c r="AB77" s="17">
        <f t="shared" si="129"/>
        <v>0.23302990594755962</v>
      </c>
      <c r="AC77" s="17">
        <f t="shared" si="130"/>
        <v>3.9306051699262432</v>
      </c>
      <c r="AD77" s="17">
        <f>(MOD(2*PI()*(0.60643382+(-0.00000313*B77+1336.85522467)*B77)+(0.84*SIN(2*PI()*(0.19833+0.05611*B77))+0.31*SIN(2*PI()*(0.27869+0.04508*B77))+14.27*SIN(2*PI()*(0.16827-0.36903*B77))+7.26*SIN(2*PI()*(0.34734-5.37261*B77))+0.28*SIN(2*PI()*(0.10498-5.37899*B77))+0.24*SIN(2*PI()*(0.42681-0.41855*B77)))*PI()/648000,2*PI())*180/PI()+(Y77+(0.82*SIN(2*PI()*(0.7736-62.5512*B77))+0.31*SIN(2*PI()*(0.0466-125.1025*B77))+0.35*SIN(2*PI()*(0.5785-25.1042*B77))+0.66*SIN(2*PI()*(0.4591+1335.8075*B77))+0.64*SIN(2*PI()*(0.313-91.568*B77))+1.14*SIN(2*PI()*(0.148+1331.2898*B77))+0.21*SIN(2*PI()*(0.5918+1056.5859*B77))+0.44*SIN(2*PI()*(0.5784+1322.8595*B77))+0.24*SIN(2*PI()*(0.2275-5.7374*B77))+0.28*SIN(2*PI()*(0.2965+2.6929*B77))+0.33*SIN(2*PI()*(0.3132+6.3368*B77)))+(I77*6480000000/PI())/10000)/3600)*PI()/180</f>
        <v>4.363579448724006</v>
      </c>
      <c r="AE77" s="17">
        <f>((1.000002708+139.978*((SIN(2*PI()*(0.59734-5.37261*B77))*-3332+SIN(2*PI()*(0.35498-5.37899*B77))*-539+SIN(2*PI()*(0.39943-5.37511*B77))*-64)/1000000000))*(18519.7+AA77)*SIN(AC77)-6.24*SIN(3*AC77)+(-526.069*SIN(P77-2*Q77)-3.352*SIN(P77-4*Q77))*T77+(44.297*SIN(N77+P77-2*Q77)-6*SIN(N77+P77-4*Q77)+20.599*SIN(-N77+P77)-30.598*SIN(-N77+P77-2*Q77))*R77*T77+(-24.649*SIN(-2*N77+P77)-2*SIN(-2*N77+P77-2*Q77))*R77*R77*T77+(-22.571*SIN(O77+P77-2*Q77)+10.985*SIN(-O77+P77-2*Q77))*S77*T77)*PI()/648000</f>
        <v>-6.5486977103282343E-2</v>
      </c>
      <c r="AF77" s="17">
        <f t="shared" si="131"/>
        <v>1.6594833525422927E-2</v>
      </c>
      <c r="AG77" s="17">
        <f t="shared" si="132"/>
        <v>4.5222182564125411E-3</v>
      </c>
      <c r="AH77" s="17">
        <f t="shared" si="133"/>
        <v>4.3243594722321399</v>
      </c>
      <c r="AI77" s="17">
        <f t="shared" si="134"/>
        <v>-0.44787557267774664</v>
      </c>
      <c r="AJ77" s="17">
        <f t="shared" si="135"/>
        <v>250.01468598190797</v>
      </c>
      <c r="AK77" s="17">
        <f t="shared" si="136"/>
        <v>-3.752127401087936</v>
      </c>
      <c r="AL77" s="4">
        <f t="shared" si="137"/>
        <v>0.23794889345197351</v>
      </c>
      <c r="AM77" s="8">
        <f>MOD((((0.064*AL77+31.31)*AL77+1717915922.633)*AL77+485866.733)/3600,360)*PI()/180</f>
        <v>4.9550932089129205</v>
      </c>
      <c r="AN77" s="8">
        <f>MOD((((-0.012*AL77-0.577)*AL77+(99*1296000+1292581.224)*AL77)+1287099.804)/3600,360)*PI()/180</f>
        <v>4.9473430877548532</v>
      </c>
      <c r="AO77" s="8">
        <f>MOD((((0.011*AL77-13.257)*AL77+1739527263.137*AL77)+335778.877)/3600,360)*PI()/180</f>
        <v>4.0257139898538155</v>
      </c>
      <c r="AP77" s="8">
        <f>MOD((((0.019*AL77-6.891)*AL77+1602961601.328*AL77)+1072261.307)/3600,360)*PI()/180</f>
        <v>0.8493884805594536</v>
      </c>
      <c r="AQ77" s="8">
        <f>MOD((((0.008*AL77+7.455)*AL77-6962890.539*AL77)+450160.28)/3600,360)*PI()/180</f>
        <v>0.43318080774601558</v>
      </c>
      <c r="AR77" s="7">
        <f>SIN(AQ77)*(-171996-174.2*AL77)+SIN(2*AQ77)*(2062+0.2*AL77)+SIN(2*(-AM77+AO77)+AQ77)*46+SIN(2*(AM77-AO77))*11+SIN(2*(-AM77+AO77+AQ77))*-3+SIN(AM77-AN77-AP77)*-3+SIN(2*(-AN77+AO77-AP77)+AQ77)*-2+SIN(2*(AM77-AO77)+AQ77)+SIN(2*(AO77-AP77+AQ77))*(-13187-1.6*AL77)+SIN(AN77)*(1426-3.4*AL77)+SIN(AN77+2*(AO77-AP77+AQ77))*(-517+1.2*AL77)+SIN(-AN77+2*(AO77-AP77+AQ77))*(217-0.5*AL77)+SIN(2*(AO77-AP77)+AQ77)*(129+0.1*AL77)+SIN(2*(AM77-AP77))*48+SIN(2*(AO77-AP77))*-22+SIN(2*AN77)*(17-0.1*AL77)+SIN(AN77+AQ77)*-15+SIN(2*(AN77+AO77-AP77+AQ77))*(-16+0.1*AL77)+SIN(-AN77+AQ77)*-12+SIN(2*(-AM77+AP77)+AQ77)*-6+SIN(-AN77+2*(AO77-AP77)+AQ77)*-5+SIN(2*(AM77-AP77)+AQ77)*4+SIN(2*(AO77-AP77)+AQ77)*4+SIN(AM77-AP77)*-4+SIN(2*(AM77-AP77)+AN77)+SIN(2*(-AO77+AP77)+AQ77)-SIN(AN77+2*(-AO77+AP77))+SIN(AN77+2*AQ77)+SIN(-AM77+AP77+AQ77)-SIN(AN77+2*(AO77-AP77))+SIN(2*AO77+2*AQ77)*(-2274-0.2*AL77)+SIN(AM77)*(712+0.1*AL77)+SIN(2*AO77+AQ77)*(-386-0.4*AL77)+SIN(AM77+2*(AO77+AQ77))*-301+SIN(AM77-2*AP77)*-158+SIN(-AM77+2*(AO77+AQ77))*123+SIN(2*AP77)*63+SIN(AM77+AQ77)*(63+0.1*AL77)+SIN(-AM77+AQ77)*(-58-0.1*AL77)+SIN(-AM77+2*(AO77+AP77+AQ77))*-59+SIN(AM77+2*AO77+AQ77)*-51+SIN(2*(AO77+AP77+AQ77))*-38+SIN(2*AM77)*29+SIN(AM77+2*(AO77-AP77+AQ77))*29+SIN(2*(AM77+AO77+AQ77))*-31+SIN(2*AO77)*26+SIN(-AM77+2*AO77+AQ77)*21+SIN(-AM77+2*AP77+AQ77)*16+SIN(AM77-2*AP77+AQ77)*-13+SIN(-AM77+2*(AO77+AP77)+AQ77)*-10+SIN(AM77+AN77-2*AP77)*-7+SIN(AN77+2*(AO77+AQ77))*7+SIN(-AN77+2*(AO77+AQ77))*-7</f>
        <v>-84656.225896830656</v>
      </c>
      <c r="AS77" s="8">
        <f>(AR77+SIN(AM77+2*(AO77+AP77+AQ77))*-8+SIN(AM77+2*AP77)*6+SIN(2*(AM77+AO77-AP77+AQ77))*6+SIN(2*AP77+AQ77)*-6+SIN(2*(AO77+AP77)+AQ77)*-7+SIN(AM77+2*(AO77-AP77)+AQ77)*6+SIN(-2*AP77+AQ77)*-5+SIN(AM77-AN77)*5+SIN(2*(AM77+AO77)+AQ77)*-5+SIN(AN77-2*AP77)*-4+SIN(AM77-2*AO77)*4+SIN(AP77)*-4+SIN(AM77+AN77)*-3+SIN(AM77+2*AO77)*3+SIN(AM77-AN77+2*(AO77+AQ77))*-3+SIN(-AM77-AN77+2*(AO77+AP77+AQ77))*-3+SIN(-2*AM77+AQ77)*-2+SIN(3*AM77+2*(AO77+AQ77))*-3+SIN(-AN77+2*(AO77+AP77+AQ77))*-3+SIN(AM77+AN77+2*(AO77+AQ77))*2+SIN(-AM77+2*(AO77-AP77)+AQ77)*-2+SIN(2*AM77+AQ77)*2+SIN(AM77+2*AQ77)*-2+SIN(3*AM77)*2+SIN(2*(AO77+AQ77)+AP77)*2+SIN(-AM77+2*AQ77)-SIN(AM77-4*AP77)+SIN(2*(-AM77+AO77+AP77+AQ77))+SIN(-AM77+2*(AO77+2*AP77+AQ77))*-2-SIN(2*(AM77-2*AP77))+SIN(AM77+AN77+2*(AO77-AP77+AQ77))-SIN(AM77+2*(AO77+AP77)+AQ77)-SIN(2*(-AM77+AO77+2*AP77+AQ77))+SIN(-AM77+2*(2*AO77+AQ77))+SIN(AM77-AN77-2*AP77)+SIN(2*(AM77+AO77-AP77)+AQ77)-SIN(2*(AM77+AO77+AP77+AQ77))-SIN(AM77+2*AP77+AQ77)+SIN(2*(2*AO77-AP77+AQ77))+SIN(3*AM77+2*(AO77-AP77+AQ77))-SIN(AM77+2*(AO77-AP77))+SIN(AN77+2*AO77+AQ77)+SIN(-AM77-AN77+2*AP77+AQ77)-SIN(-2*AO77+AQ77)-SIN(2*AO77-AP77+2*AQ77)-SIN(AN77+2*AP77)-SIN(AM77+2*(-AO77-AP77))-SIN(-AN77+2*AO77+AQ77)-SIN(AM77+AN77-2*AP77+AQ77)-SIN(AM77+2*(-AO77+AP77))+SIN(2*(AM77+AP77))-SIN(2*(AO77+2*AP77+AQ77))+SIN(AN77+AP77))/6480000000*PI()</f>
        <v>-4.1048223260101599E-5</v>
      </c>
      <c r="AT77" s="7">
        <f>COS(AQ77)*(92025+8.9*AL77)+COS(2*AQ77)*(-895+0.5*AL77)+COS(2*(-AM77+AO77)+AQ77)*-24+COS(2*(-AM77+AO77+AQ77))+COS(2*(-AN77+AO77-AP77)+AQ77)+COS(2*(AO77-AP77+AQ77))*(5736-3.1*AL77)+COS(AN77)*(54-0.1*AL77)+COS(AN77+2*(AO77-AP77+AQ77))*(224-0.6*AL77)+COS(-AN77+2*(AO77-AP77+AQ77))*(-95-0.3*AL77)+COS(2*(AO77-AP77)+AQ77)*-70+COS(2*(AM77-AP77))+COS(AN77+AQ77)*9+COS(2*(AN77+AO77-AP77+AQ77))*7+COS(-AN77+AQ77)*6+COS(2*(-AM77+AP77)+AQ77)*3+COS(-AN77+2*(AO77-AP77)+AQ77)*3+COS(2*(AM77-AP77)+AQ77)*-2+COS(AN77+2*(AO77-AP77)+AQ77)*-2+COS(PI()/2)+COS(PI()/2)+COS(PI()/2)+COS(PI()/2)+COS(PI()/2)+COS(PI()/2)+COS(2*AO77+2*AQ77)*(977-0.5*AL77)+COS(AM77)*-7+COS(2*AO77+AQ77)*200+COS(AM77+2*(AO77+AQ77))*(129-0.1*AL77)-COS(AM77-2*AP77)+COS(-AM77+2*(AO77+AQ77))*-53+COS(2*AP77)*-2+COS(AM77+AQ77)*-33+COS(-AM77+AQ77)*32+COS(-AM77+2*(AO77+AP77+AQ77))*26+COS(AM77+2*AO77+AQ77)*27+COS(2*(AO77+AP77+AQ77))*16-COS(2*AM77)+COS(AM77+2*(AO77-AP77+AQ77))*-12+COS(2*(AM77+AO77+AQ77))*13-COS(2*AO77)+COS(-AM77+2*AO77+AQ77)*-10+COS(-AM77+2*AP77+AQ77)*-8+COS(AM77-2*AP77+AQ77)*7+COS(-AM77+2*(AO77+AP77)+AQ77)*5+COS(AN77+2*(AO77+AQ77))*-3+COS(-AN77+2*(AO77+AQ77))*3</f>
        <v>85683.400839158232</v>
      </c>
      <c r="AU77" s="8">
        <f>(AT77+COS(AM77+2*(AO77+AP77+AQ77))*3+COS(2*(AM77+AO77-AP77+AQ77))*-3+COS(2*AP77+AQ77)*3+COS(2*(AO77+AP77)+AQ77)*3+COS(AM77+2*(AO77-AP77)+AQ77)*-3+COS(-2*AP77+AQ77)*3+COS(2*(AM77+AO77)+AQ77)*3+COS(AM77-AN77+2*(AO77+AQ77))+COS(-AM77-AN77+2*(AO77+AP77+AQ77))+COS(-2*AM77+AQ77)+COS(3*AM77+2*(AO77+AQ77))+COS(-AN77+2*(AO77+AP77+AQ77))-COS(AM77+AN77+2*(AO77+AQ77))+COS(-AM77+2*(AO77-AP77)+AQ77)-COS(2*AM77+AQ77)+COS(AM77+2*AQ77)-COS(2*(AO77+AQ77)+AP77)-COS(-AM77+2*AQ77)-COS(2*(-AM77+AO77+AP77+AQ77))+COS(-AM77+2*(AO77+2*AP77+AQ77))-COS(AM77+AN77+2*(AO77-AP77+AQ77))+COS(AM77+2*(AO77+AP77)+AQ77)+COS(2*(-AM77+AO77+2*AP77+AQ77))-COS(2*(AM77+AO77-AP77)+AQ77))/6480000000*PI()</f>
        <v>4.1538442597071576E-5</v>
      </c>
      <c r="AV77" s="8">
        <f>(((((((((((245*AL77/100+579)*AL77/100+2787)*AL77/100+712)*AL77/100-3905)*AL77/100-24967)*AL77/100-5138)*AL77/1007+199925)*AL77/100-155)*AL77/100-468093)*AL77/100+158144.8)/360000+23)*PI()/180</f>
        <v>0.40903880469045506</v>
      </c>
      <c r="AW77" s="8">
        <f>MOD((((-AL77/113065000+1/545868)*AL77-0.0018819)*AL77+445267.1114034)*AL77+297.8501921,360)*PI()/180</f>
        <v>0.84939126374255902</v>
      </c>
      <c r="AX77" s="8">
        <f>MOD(((AL77/24490000-0.0001536)*AL77+35999.0502909)*AL77+357.5291092,360)*PI()/180</f>
        <v>4.9473675889276478</v>
      </c>
      <c r="AY77" s="8">
        <f>MOD((((-AL77/14712000+1/69699)*AL77+0.0087414)*AL77+477198.8675055)*AL77+134.9633964,360)*PI()/180</f>
        <v>4.9551009412852904</v>
      </c>
      <c r="AZ77" s="8">
        <f>MOD((((AL77/863310000-1/3526000)*AL77-0.0036539)*AL77+483202.0175233)*AL77+93.272095,360)*PI()/180</f>
        <v>4.0257288321076112</v>
      </c>
      <c r="BA77" s="103">
        <f>(-0.0000074*AL77-0.002516)*AL77+1</f>
        <v>0.99940090159847317</v>
      </c>
      <c r="BB77" s="8">
        <f>MOD((((-AL77/65194000+1/538841)*AL77-0.0015786)*AL77+481267.88123421)*AL77+218.3164477,360)*PI()/180</f>
        <v>4.4589000127463736</v>
      </c>
      <c r="BC77" s="8">
        <f>MOD(131.849*AL77+119.75,350)*PI()/180</f>
        <v>2.6375995742974983</v>
      </c>
      <c r="BD77" s="7">
        <f>SIN(AY77)*6288774+SIN(2*AW77-AY77)*1274027+SIN(2*AW77)*658314+SIN(2*AY77)*213618+SIN(AX77)*-185116*BA77+SIN(2*AZ77)*-114332+SIN(2*(AW77-AY77))*58793+SIN(2*AW77-AX77-AY77)*57066*BA77+SIN(2*AW77+AY77)*53322+SIN(2*AW77-AX77)*45758*BA77+SIN(AX77-AY77)*-40923*BA77+SIN(AW77)*-34720+SIN(AX77+AY77)*-30383*BA77+SIN(2*(AW77-AZ77))*15327+SIN(AY77+2*AZ77)*-12528+SIN(AY77-2*AZ77)*10980+SIN(4*AW77-AY77)*10675+SIN(3*AY77)*10034+SIN(2*(2*AW77-AY77))*8548+SIN(2*AW77+AX77-AY77)*-7888*BA77+SIN(2*AW77+AX77)*-6766*BA77+SIN(AW77-AY77)*-5163+SIN(AW77+AX77)*4987*BA77+SIN(2*AW77-AX77+AY77)*4036*BA77+SIN(2*(AW77+AY77))*3994+SIN(4*AW77)*3861+SIN(2*AW77-3*AY77)*3665+SIN(AX77-2*AY77)*-2689*BA77+SIN(2*(AW77+AZ77)-AY77)*-2602+SIN(2*(AW77-AY77)-AX77)*2390*BA77+SIN(AW77+AY77)*-2348+SIN(2*(AW77-AX77))*2236*BA77*BA77+SIN(AX77+2*AY77)*-2120*BA77+SIN(2*AX77)*-2069*BA77*BA77+SIN(2*(AW77-AX77)-AY77)*2048*BA77*BA77+SIN(2*(AW77-AZ77)+AY77)*-1773+SIN(2*(AW77+AZ77))*-1595+SIN(4*AW77-AX77-AY77)*1215*BA77+SIN(2*(AY77+AZ77))*-1110+SIN(3*AW77-AY77)*-892+SIN(2*AW77+AX77+AY77)*-810*BA77+SIN(4*AW77-AX77-2*AY77)*759*BA77+SIN(2*AX77-AY77)*-713*BA77*BA77+SIN(2*(AW77+AX77)-AY77)*-700*BA77*BA77+SIN(2*(AW77-AY77)+AX77)*691*BA77+SIN(2*(AW77-AZ77)-AX77)*596*BA77+SIN(4*AW77+AY77)*549+SIN(4*AY77)*537+SIN(4*AW77-AX77)*520*BA77+SIN(AW77-2*AY77)*-487+SIN(2*(AW77-AZ77)+AX77)*-399*BA77+SIN(2*(AY77-AZ77))*-381+SIN(AW77+AX77+AY77)*351*BA77+SIN(3*AW77-2*AY77)*-340+SIN(4*AW77-3*AY77)*330+SIN(2*(AW77+AY77)-AX77)*327*BA77+SIN(2*AX77+AY77)*-323*BA77*BA77+SIN(AW77+AX77-AY77)*299*BA77+SIN(2*AW77+3*AY77)*294</f>
        <v>-5462448.6510884762</v>
      </c>
      <c r="BE77" s="7">
        <f>SIN(AZ77)*5128122+SIN(AY77+AZ77)*280602+SIN(AY77-AZ77)*277693+SIN(2*AW77-AZ77)*173237+SIN(2*AW77-AY77+AZ77)*55413+SIN(2*AW77-AY77-AZ77)*46271+SIN(2*AW77+AZ77)*32573+SIN(2*AY77+AZ77)*17198+SIN(2*AW77+AY77-AZ77)*9266+SIN(2*AY77-AZ77)*8822+SIN(2*AW77-AX77-AZ77)*8216*BA77+SIN(2*(AW77-AY77)-AZ77)*4324+SIN(2*AW77+AY77+AZ77)*4200+SIN(2*AW77+AX77-AZ77)*-3359*BA77+SIN(2*AW77-AX77-AY77+AZ77)*2463*BA77+SIN(2*AW77-AX77+AZ77)*2211*BA77+SIN(2*AW77-AX77-AY77-AZ77)*2065*BA77+SIN(AX77-AY77-AZ77)*-1870*BA77+SIN(4*AW77-AY77-AZ77)*1828+SIN(AX77+AZ77)*-1794*BA77+SIN(3*AZ77)*-1749+SIN(AX77-AY77+AZ77)*-1565*BA77+SIN(AW77+AZ77)*-1491+SIN(AX77+AY77+AZ77)*-1475*BA77+SIN(AX77+AY77-AZ77)*-1410*BA77+SIN(AX77-AZ77)*-1344*BA77+SIN(AW77-AZ77)*-1335+SIN(3*AY77+AZ77)*1107+SIN(4*AW77-AZ77)*1021+SIN(4*AW77-AY77+AZ77)*833</f>
        <v>-3754959.5776656959</v>
      </c>
      <c r="BF77" s="8">
        <f>AU77+AV77</f>
        <v>0.40908034313305214</v>
      </c>
      <c r="BG77" s="8">
        <f>MOD(BB77+(BD77+SIN(BC77)*3958+SIN(BB77-AZ77)*1962+SIN(MOD(479264.29*AL77+53.09,360)*PI()/180)*318)/1000000*PI()/180+AS77,2*PI())</f>
        <v>4.3635665079387946</v>
      </c>
      <c r="BH77" s="8">
        <f>(BE77+SIN(AY77-3*AZ77)*777+SIN(4*AW77-2*AY77+AZ77)*671+SIN(2*AW77-3*AZ77)*607+SIN(2*(AW77+AY77)-AZ77)*596+SIN(2*AW77-AX77+AY77-AZ77)*491*BA77+SIN(2*(AW77-AY77)+AZ77)*-451+SIN(3*AY77-AZ77)*439+SIN(2*(AW77+AY77)+AZ77)*422+SIN(2*AW77-3*AY77-AZ77)*421+SIN(2*AW77+AX77-AY77+AZ77)*-366*BA77+SIN(2*AW77+AX77+AZ77)*-351*BA77+SIN(4*AW77+AZ77)*331+SIN(2*AW77-AX77+AY77+AZ77)*315*BA77+SIN(2*(AW77-AX77)-AZ77)*302*BA77*BA77+SIN(AY77+3*AZ77)*-283+SIN(2*AW77+AX77+AY77-AZ77)*-229*BA77+SIN(AW77+AX77-AZ77)*223*BA77+SIN(AW77+AX77+AZ77)*223*BA77+SIN(AX77-2*AY77-AZ77)*-220*BA77+SIN(2*AW77+AX77-AY77-AZ77)*-220*BA77+SIN(AW77+AY77+AZ77)*-185+SIN(2*(AW77-AY77)-AX77-AZ77)*181*BA77+SIN(AX77+2*AY77+AZ77)*-177*BA77+SIN(4*AW77-2*AY77-AZ77)*176+SIN(4*AW77-AX77-AY77-AZ77)*166*BA77+SIN(AW77+AY77-AZ77)*-164+SIN(4*AW77+AY77-AZ77)*132+SIN(AW77-AY77-AZ77)*-119+SIN(4*AW77-AX77-AZ77)*115*BA77+SIN(2*(AW77-AX77)+AZ77)*107*BA77*BA77+SIN(BB77)*-2235+SIN(MOD(481266.484*AL77+313.45,360)*PI()/180)*382+SIN(BC77-AZ77)*175+SIN(BC77+AZ77)*175+SIN(BB77-AY77)*127+SIN(BB77+AY77)*-115)*PI()/180000000</f>
        <v>-6.5483415110269172E-2</v>
      </c>
      <c r="BI77" s="104">
        <f>385000.56+(COS(AY77)*-20905355+COS(2*AW77-AY77)*-3699111+COS(2*AW77)*-2955968+COS(2*AY77)*-569925+COS(AX77)*48888*BA77+COS(2*AZ77)*-3149+COS(2*(AW77-AY77))*246158+COS(2*AW77-AX77-AY77)*-152138*BA77+COS(2*AW77+AY77)*-170733+COS(2*AW77-AX77)*-204586*BA77+COS(AX77-AY77)*-129620*BA77+COS(AW77)*108743+COS(AX77+AY77)*104755*BA77+COS(2*(AW77-AZ77))*10321+COS(AY77-2*AZ77)*79661+COS(4*AW77-AY77)*-34782+COS(3*AY77)*-23210+COS(2*(2*AW77-AY77))*-21636+COS(2*AW77+AX77-AY77)*24208*BA77+COS(2*AW77+AX77)*30824*BA77+COS(AW77-AY77)*-8379+COS(AW77+AX77)*-16675*BA77+COS(2*AW77-AX77+AY77)*-12831*BA77+COS(2*(AW77+AY77))*-10445+COS(4*AW77)*-11650+COS(2*AW77-3*AY77)*14403+COS(AX77-2*AY77)*-7003*BA77+COS(2*(AW77-AY77)-AX77)*10056*BA77+COS(AW77+AY77)*6322+COS(2*(AW77-AX77))*-9884*BA77*BA77+COS(AX77+2*AY77)*5751*BA77+COS(2*(AW77-AX77)-AY77)*-4950*BA77*BA77+COS(2*(AW77-AZ77)+AY77)*4130+COS(4*AW77-AX77-AY77)*-3958*BA77+COS(3*AW77-AY77)*3258+COS(2*AW77+AX77+AY77)*2616*BA77+COS(4*AW77-AX77-2*AY77)*-1897*BA77+COS(2*AX77-AY77)*-2117*BA77*BA77+COS(2*(AW77+AX77)-AY77)*2354*BA77*BA77+COS(4*AW77+AY77)*-1423+COS(4*AY77)*-1117+COS(4*AW77-AX77)*-1571*BA77+COS(AW77-2*AY77)*-1739+COS(2*(AY77-AZ77))*-4421+COS(2*AX77+AY77)*1165*BA77*BA77+COS(2*(AW77-AZ77)-AY77)*8752)/1000</f>
        <v>384372.54031121579</v>
      </c>
      <c r="BJ77" s="8">
        <f>IF(2*ATAN((-SIN(BH77)*SIN(BF77)+COS(BH77)*COS(BF77)*SIN(BG77))/(COS(BK77)+COS(BH77)*COS(BG77)))&lt;0,2*ATAN((-SIN(BH77)*SIN(BF77)+COS(BH77)*COS(BF77)*SIN(BG77))/(COS(BK77)+COS(BH77)*COS(BG77)))+2*PI(),2*ATAN((-SIN(BH77)*SIN(BF77)+COS(BH77)*COS(BF77)*SIN(BG77))/(COS(BK77)+COS(BH77)*COS(BG77))))</f>
        <v>4.324345906128193</v>
      </c>
      <c r="BK77" s="8">
        <f>ASIN(SIN(BH77)*COS(BF77)+COS(BH77)*SIN(BF77)*SIN(BG77))</f>
        <v>-0.44787010380362352</v>
      </c>
      <c r="BL77" s="8">
        <f>ASIN(6378.14/BI77)</f>
        <v>1.6594402746468336E-2</v>
      </c>
      <c r="BM77" s="4" t="str">
        <f>"T2 = "&amp;A77&amp;"h TDT"</f>
        <v>T2 = 14h TDT</v>
      </c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</row>
    <row r="78" spans="1:109" ht="17.25" hidden="1">
      <c r="A78" s="2"/>
      <c r="B78" s="70" t="s">
        <v>183</v>
      </c>
      <c r="C78" s="6"/>
      <c r="D78" s="6"/>
      <c r="E78" s="6"/>
      <c r="F78" s="20"/>
      <c r="G78" s="21"/>
      <c r="H78" s="21"/>
      <c r="I78" s="21"/>
      <c r="J78" s="21"/>
      <c r="K78" s="18"/>
      <c r="L78" s="18"/>
      <c r="M78" s="18"/>
      <c r="N78" s="18"/>
      <c r="O78" s="18"/>
      <c r="P78" s="18"/>
      <c r="Q78" s="18"/>
      <c r="R78" s="4"/>
      <c r="S78" s="4"/>
      <c r="T78" s="4"/>
      <c r="U78" s="4"/>
      <c r="V78" s="4"/>
      <c r="W78" s="4"/>
      <c r="X78" s="4"/>
      <c r="Y78" s="4"/>
      <c r="Z78" s="16"/>
      <c r="AA78" s="4"/>
      <c r="AB78" s="4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100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</row>
    <row r="79" spans="1:109" ht="12.75" hidden="1" customHeight="1">
      <c r="A79" s="2"/>
      <c r="B79" s="3" t="s">
        <v>145</v>
      </c>
      <c r="C79" s="3" t="s">
        <v>146</v>
      </c>
      <c r="D79" s="60" t="s">
        <v>147</v>
      </c>
      <c r="E79" s="3" t="s">
        <v>148</v>
      </c>
      <c r="F79" s="3" t="s">
        <v>149</v>
      </c>
      <c r="G79" s="3" t="s">
        <v>150</v>
      </c>
      <c r="H79" s="52" t="s">
        <v>151</v>
      </c>
      <c r="I79" s="61" t="s">
        <v>152</v>
      </c>
      <c r="J79" s="61" t="s">
        <v>153</v>
      </c>
      <c r="K79" s="52" t="s">
        <v>154</v>
      </c>
      <c r="L79" s="61" t="s">
        <v>155</v>
      </c>
      <c r="M79" s="61" t="s">
        <v>156</v>
      </c>
      <c r="N79" s="3" t="s">
        <v>157</v>
      </c>
      <c r="O79" s="3" t="s">
        <v>158</v>
      </c>
      <c r="P79" s="3" t="s">
        <v>159</v>
      </c>
      <c r="Q79" s="3" t="s">
        <v>160</v>
      </c>
      <c r="R79" s="3" t="s">
        <v>161</v>
      </c>
      <c r="S79" s="3" t="s">
        <v>162</v>
      </c>
      <c r="T79" s="60" t="s">
        <v>200</v>
      </c>
      <c r="U79" s="3" t="s">
        <v>146</v>
      </c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46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2"/>
      <c r="BN79" s="2"/>
      <c r="BO79" s="2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</row>
    <row r="80" spans="1:109" ht="8.25" hidden="1" customHeight="1">
      <c r="A80" s="2"/>
      <c r="B80" s="62">
        <f>SIGN(C11)*(INT(ABS(C11))+INT(ABS(C11)*100-INT(ABS(C11))*100)/60+(100*ABS(C11)-INT(100*ABS(C11)))*100/3600)</f>
        <v>-12.4</v>
      </c>
      <c r="C80" s="62">
        <f>SIGN(D11)*(INT(ABS(D11))+INT(ABS(D11)*100-INT(ABS(D11))*100)/60+(100*ABS(D11)-INT(100*ABS(D11)))*100/3600)*PI()/180</f>
        <v>0.89535390627309097</v>
      </c>
      <c r="D80" s="63">
        <f>E11</f>
        <v>130</v>
      </c>
      <c r="E80" s="62">
        <f>AP42*PI()/12</f>
        <v>4.323355090115153</v>
      </c>
      <c r="F80" s="62">
        <f>AQ42*PI()/180</f>
        <v>-0.46223590798026493</v>
      </c>
      <c r="G80" s="63">
        <f>IF(OR(AR73=27,AS73=27),9999,AQ73)</f>
        <v>13</v>
      </c>
      <c r="H80" s="62">
        <f>IF(G11=3,(AH76+BJ76)/2,IF(G11=1,AH76,BJ76))</f>
        <v>4.3139957633333896</v>
      </c>
      <c r="I80" s="62">
        <f>IF(G11=3,(AI76+BK76)/2,IF(G11=1,AI76,BK76))</f>
        <v>-0.44579853479631393</v>
      </c>
      <c r="J80" s="62">
        <f>IF(G11=3,(AF76+BL76)/2,IF(G11=1,AF76,BL76))</f>
        <v>1.6588662369284614E-2</v>
      </c>
      <c r="K80" s="62">
        <f>IF(G11=3,(AH77+BJ77)/2,IF(G11=1,AH77,BJ77))</f>
        <v>4.3243594722321399</v>
      </c>
      <c r="L80" s="62">
        <f>IF(G11=3,(AI77+BK77)/2,IF(G11=1,AI77,BK77))</f>
        <v>-0.44787557267774664</v>
      </c>
      <c r="M80" s="62">
        <f>IF(G11=3,(AF77+BL77)/2,IF(G11=1,AF77,BL77))</f>
        <v>1.6594833525422927E-2</v>
      </c>
      <c r="N80" s="13">
        <f>COS(I80)*SIN(H80-E80)/SIN(J80)</f>
        <v>-0.50907494424216682</v>
      </c>
      <c r="O80" s="13">
        <f>(SIN(I80)*COS(F80)-COS(I80)*SIN(F80)*COS(H80-E80))/SIN(J80)</f>
        <v>0.9898183946085316</v>
      </c>
      <c r="P80" s="64">
        <f>COS(L80)*SIN(K80-E80)/SIN(M80)</f>
        <v>5.4556764758036239E-2</v>
      </c>
      <c r="Q80" s="64">
        <f>(SIN(L80)*COS(F80)-COS(L80)*SIN(F80)*COS(K80-E80))/SIN(M80)</f>
        <v>0.86534752370399404</v>
      </c>
      <c r="R80" s="13">
        <f>G80-N80/E83</f>
        <v>13.903204940589998</v>
      </c>
      <c r="S80" s="13">
        <f>MOD(O36+R80/0.997269566-E80*12/PI(),24)</f>
        <v>23.175742882225499</v>
      </c>
      <c r="T80" s="3">
        <f>MOD(R80+E7-H7/3600,24)</f>
        <v>14.883760496145554</v>
      </c>
      <c r="U80" s="3">
        <f>C80*180/PI()</f>
        <v>51.3</v>
      </c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2"/>
      <c r="BN80" s="2"/>
      <c r="BO80" s="2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</row>
    <row r="81" spans="1:109" ht="17.25" hidden="1">
      <c r="A81" s="2"/>
      <c r="B81" s="65" t="s">
        <v>163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2"/>
      <c r="BN81" s="2"/>
      <c r="BO81" s="2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</row>
    <row r="82" spans="1:109" ht="17.25" hidden="1">
      <c r="A82" s="2"/>
      <c r="B82" s="46" t="s">
        <v>256</v>
      </c>
      <c r="C82" s="3" t="s">
        <v>164</v>
      </c>
      <c r="D82" s="3" t="s">
        <v>73</v>
      </c>
      <c r="E82" s="3" t="s">
        <v>165</v>
      </c>
      <c r="F82" s="3" t="s">
        <v>166</v>
      </c>
      <c r="G82" s="3" t="s">
        <v>167</v>
      </c>
      <c r="H82" s="3" t="s">
        <v>168</v>
      </c>
      <c r="I82" s="3" t="s">
        <v>169</v>
      </c>
      <c r="J82" s="3" t="s">
        <v>170</v>
      </c>
      <c r="K82" s="31" t="s">
        <v>85</v>
      </c>
      <c r="L82" s="3" t="s">
        <v>171</v>
      </c>
      <c r="M82" s="3" t="s">
        <v>68</v>
      </c>
      <c r="N82" s="3" t="s">
        <v>172</v>
      </c>
      <c r="O82" s="66" t="s">
        <v>173</v>
      </c>
      <c r="P82" s="3" t="s">
        <v>174</v>
      </c>
      <c r="Q82" s="3" t="s">
        <v>175</v>
      </c>
      <c r="R82" s="3" t="s">
        <v>176</v>
      </c>
      <c r="S82" s="3" t="s">
        <v>177</v>
      </c>
      <c r="T82" s="66" t="s">
        <v>178</v>
      </c>
      <c r="U82" s="66" t="s">
        <v>179</v>
      </c>
      <c r="V82" s="66" t="s">
        <v>180</v>
      </c>
      <c r="W82" s="66" t="s">
        <v>181</v>
      </c>
      <c r="X82" s="3" t="s">
        <v>182</v>
      </c>
      <c r="Y82" s="3" t="s">
        <v>79</v>
      </c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2"/>
      <c r="BN82" s="2"/>
      <c r="BO82" s="2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</row>
    <row r="83" spans="1:109" ht="17.25" hidden="1">
      <c r="A83" s="2"/>
      <c r="B83" s="4">
        <v>1</v>
      </c>
      <c r="C83" s="13">
        <f>S80-1.002738*H7/3600</f>
        <v>23.156245198892165</v>
      </c>
      <c r="D83" s="3">
        <f>O80-N80*F83/E83</f>
        <v>0.87739568904801357</v>
      </c>
      <c r="E83" s="13">
        <f>P80-N80</f>
        <v>0.5636317090002031</v>
      </c>
      <c r="F83" s="13">
        <f>Q80-O80</f>
        <v>-0.12447087090453757</v>
      </c>
      <c r="G83" s="62">
        <f>F80</f>
        <v>-0.46223590798026493</v>
      </c>
      <c r="H83" s="62">
        <f>0.99664719*SIN(ATAN(0.99664719*TAN(C80)))+D80/6378140*SIN(C80)</f>
        <v>0.77680706210983785</v>
      </c>
      <c r="I83" s="62">
        <f>COS(ATAN(0.99664719*TAN(C80)))+D80/6378140*COS(C80)</f>
        <v>0.62653397982276537</v>
      </c>
      <c r="J83" s="13">
        <f>B80/15</f>
        <v>-0.82666666666666666</v>
      </c>
      <c r="K83" s="31">
        <v>-1</v>
      </c>
      <c r="L83" s="67">
        <f>E83*K83</f>
        <v>-0.5636317090002031</v>
      </c>
      <c r="M83" s="68">
        <f t="shared" ref="M83:M101" si="138">D83+F83*K83</f>
        <v>1.0018665599525511</v>
      </c>
      <c r="N83" s="67">
        <f t="shared" ref="N83:N101" si="139">(C83-J83+K83/0.997269566)*PI()/12</f>
        <v>6.0161954731665945</v>
      </c>
      <c r="O83" s="67">
        <f>I83*COS(N83)</f>
        <v>0.60433552670237201</v>
      </c>
      <c r="P83" s="67">
        <f>I83*SIN(N83)</f>
        <v>-0.16529790996234631</v>
      </c>
      <c r="Q83" s="67">
        <f>0.26252*I83*COS(N83)</f>
        <v>0.15865016246990668</v>
      </c>
      <c r="R83" s="67">
        <f>H83*COS(G83)-O83*SIN(G83)</f>
        <v>0.96479081123962751</v>
      </c>
      <c r="S83" s="67">
        <f>0.26252*P83*SIN(G83)</f>
        <v>1.9351578677674595E-2</v>
      </c>
      <c r="T83" s="67">
        <f>L83-P83</f>
        <v>-0.39833379903785682</v>
      </c>
      <c r="U83" s="67">
        <f>E83-Q83</f>
        <v>0.40498154653029639</v>
      </c>
      <c r="V83" s="67">
        <f>M83-R83</f>
        <v>3.7075748712923629E-2</v>
      </c>
      <c r="W83" s="67">
        <f>F83-S83</f>
        <v>-0.14382244958221216</v>
      </c>
      <c r="X83" s="69">
        <f>(0.2725076*0.2725076-T83*T83-V83*V83)/(2*(T83*U83+V83*W83))</f>
        <v>0.25737758971297947</v>
      </c>
      <c r="Y83" s="52">
        <f>INT(ABS((T83*W83-U83*V83)/(0.2725076*SQRT(U83*U83+W83*W83)))*10000+0.5)/10000</f>
        <v>0.36099999999999999</v>
      </c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13"/>
      <c r="AK83" s="1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2"/>
      <c r="BN83" s="2"/>
      <c r="BO83" s="2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</row>
    <row r="84" spans="1:109" ht="17.25" hidden="1">
      <c r="A84" s="2"/>
      <c r="B84" s="18">
        <f>B83+1</f>
        <v>2</v>
      </c>
      <c r="C84" s="13">
        <f t="shared" ref="C84:J84" si="140">C83</f>
        <v>23.156245198892165</v>
      </c>
      <c r="D84" s="13">
        <f t="shared" si="140"/>
        <v>0.87739568904801357</v>
      </c>
      <c r="E84" s="13">
        <f t="shared" si="140"/>
        <v>0.5636317090002031</v>
      </c>
      <c r="F84" s="13">
        <f t="shared" si="140"/>
        <v>-0.12447087090453757</v>
      </c>
      <c r="G84" s="62">
        <f t="shared" si="140"/>
        <v>-0.46223590798026493</v>
      </c>
      <c r="H84" s="62">
        <f t="shared" si="140"/>
        <v>0.77680706210983785</v>
      </c>
      <c r="I84" s="62">
        <f t="shared" si="140"/>
        <v>0.62653397982276537</v>
      </c>
      <c r="J84" s="13">
        <f t="shared" si="140"/>
        <v>-0.82666666666666666</v>
      </c>
      <c r="K84" s="31">
        <f>K83+X83</f>
        <v>-0.74262241028702047</v>
      </c>
      <c r="L84" s="67">
        <f>E84*K84</f>
        <v>-0.41856553825192333</v>
      </c>
      <c r="M84" s="68">
        <f t="shared" si="138"/>
        <v>0.96983054720966577</v>
      </c>
      <c r="N84" s="67">
        <f t="shared" si="139"/>
        <v>6.0837612524877693</v>
      </c>
      <c r="O84" s="67">
        <f>I84*COS(N84)</f>
        <v>0.61411660134899437</v>
      </c>
      <c r="P84" s="67">
        <f>I84*SIN(N84)</f>
        <v>-0.12411940952209552</v>
      </c>
      <c r="Q84" s="67">
        <f>0.26252*I84*COS(N84)</f>
        <v>0.161217890186138</v>
      </c>
      <c r="R84" s="67">
        <f>H84*COS(G84)-O84*SIN(G84)</f>
        <v>0.96915268623692996</v>
      </c>
      <c r="S84" s="67">
        <f>0.26252*P84*SIN(G84)</f>
        <v>1.4530773676088718E-2</v>
      </c>
      <c r="T84" s="67">
        <f>L84-P84</f>
        <v>-0.29444612872982778</v>
      </c>
      <c r="U84" s="67">
        <f>E84-Q84</f>
        <v>0.40241381881406513</v>
      </c>
      <c r="V84" s="67">
        <f>M84-R84</f>
        <v>6.7786097273581092E-4</v>
      </c>
      <c r="W84" s="67">
        <f>F84-S84</f>
        <v>-0.13900164458062628</v>
      </c>
      <c r="X84" s="69">
        <f>(0.2725076*0.2725076-T84*T84-V84*V84)/(2*(T84*U84+V84*W84))</f>
        <v>5.2446584429842596E-2</v>
      </c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2"/>
      <c r="BN84" s="2"/>
      <c r="BO84" s="2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</row>
    <row r="85" spans="1:109" ht="17.25" hidden="1">
      <c r="A85" s="2"/>
      <c r="B85" s="18">
        <f t="shared" ref="B85:B102" si="141">B84+1</f>
        <v>3</v>
      </c>
      <c r="C85" s="13">
        <f t="shared" ref="C85:J99" si="142">C84</f>
        <v>23.156245198892165</v>
      </c>
      <c r="D85" s="13">
        <f t="shared" si="142"/>
        <v>0.87739568904801357</v>
      </c>
      <c r="E85" s="13">
        <f t="shared" si="142"/>
        <v>0.5636317090002031</v>
      </c>
      <c r="F85" s="13">
        <f t="shared" si="142"/>
        <v>-0.12447087090453757</v>
      </c>
      <c r="G85" s="62">
        <f t="shared" si="142"/>
        <v>-0.46223590798026493</v>
      </c>
      <c r="H85" s="62">
        <f t="shared" si="142"/>
        <v>0.77680706210983785</v>
      </c>
      <c r="I85" s="62">
        <f t="shared" si="142"/>
        <v>0.62653397982276537</v>
      </c>
      <c r="J85" s="13">
        <f t="shared" si="142"/>
        <v>-0.82666666666666666</v>
      </c>
      <c r="K85" s="31">
        <f t="shared" ref="K85:K101" si="143">K84+X84</f>
        <v>-0.69017582585717785</v>
      </c>
      <c r="L85" s="67">
        <f t="shared" ref="L85:L101" si="144">E85*K85</f>
        <v>-0.38900498023850771</v>
      </c>
      <c r="M85" s="68">
        <f t="shared" si="138"/>
        <v>0.96330247516971501</v>
      </c>
      <c r="N85" s="67">
        <f t="shared" si="139"/>
        <v>6.0975293290079042</v>
      </c>
      <c r="O85" s="67">
        <f t="shared" ref="O85:O101" si="145">I85*COS(N85)</f>
        <v>0.61576722785721505</v>
      </c>
      <c r="P85" s="67">
        <f t="shared" ref="P85:P101" si="146">I85*SIN(N85)</f>
        <v>-0.11565270844037305</v>
      </c>
      <c r="Q85" s="67">
        <f t="shared" ref="Q85:Q101" si="147">0.26252*I85*COS(N85)</f>
        <v>0.16165121265707608</v>
      </c>
      <c r="R85" s="67">
        <f t="shared" ref="R85:R101" si="148">H85*COS(G85)-O85*SIN(G85)</f>
        <v>0.96988878393132572</v>
      </c>
      <c r="S85" s="67">
        <f t="shared" ref="S85:S101" si="149">0.26252*P85*SIN(G85)</f>
        <v>1.3539569176524099E-2</v>
      </c>
      <c r="T85" s="67">
        <f t="shared" ref="T85:T101" si="150">L85-P85</f>
        <v>-0.27335227179813465</v>
      </c>
      <c r="U85" s="67">
        <f t="shared" ref="U85:U101" si="151">E85-Q85</f>
        <v>0.40198049634312705</v>
      </c>
      <c r="V85" s="67">
        <f t="shared" ref="V85:V101" si="152">M85-R85</f>
        <v>-6.5863087616107041E-3</v>
      </c>
      <c r="W85" s="67">
        <f t="shared" ref="W85:W101" si="153">F85-S85</f>
        <v>-0.13801044008106167</v>
      </c>
      <c r="X85" s="69">
        <f t="shared" ref="X85:X101" si="154">(0.2725076*0.2725076-T85*T85-V85*V85)/(2*(T85*U85+V85*W85))</f>
        <v>2.3145664619872186E-3</v>
      </c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2"/>
      <c r="BN85" s="2"/>
      <c r="BO85" s="2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</row>
    <row r="86" spans="1:109" ht="17.25" hidden="1">
      <c r="A86" s="2"/>
      <c r="B86" s="18">
        <f t="shared" si="141"/>
        <v>4</v>
      </c>
      <c r="C86" s="13">
        <f t="shared" si="142"/>
        <v>23.156245198892165</v>
      </c>
      <c r="D86" s="13">
        <f t="shared" si="142"/>
        <v>0.87739568904801357</v>
      </c>
      <c r="E86" s="13">
        <f t="shared" si="142"/>
        <v>0.5636317090002031</v>
      </c>
      <c r="F86" s="13">
        <f t="shared" si="142"/>
        <v>-0.12447087090453757</v>
      </c>
      <c r="G86" s="62">
        <f t="shared" si="142"/>
        <v>-0.46223590798026493</v>
      </c>
      <c r="H86" s="62">
        <f t="shared" si="142"/>
        <v>0.77680706210983785</v>
      </c>
      <c r="I86" s="62">
        <f t="shared" si="142"/>
        <v>0.62653397982276537</v>
      </c>
      <c r="J86" s="13">
        <f t="shared" si="142"/>
        <v>-0.82666666666666666</v>
      </c>
      <c r="K86" s="31">
        <f t="shared" si="143"/>
        <v>-0.68786125939519061</v>
      </c>
      <c r="L86" s="67">
        <f t="shared" si="144"/>
        <v>-0.38770041718794329</v>
      </c>
      <c r="M86" s="68">
        <f t="shared" si="138"/>
        <v>0.96301437906642495</v>
      </c>
      <c r="N86" s="67">
        <f t="shared" si="139"/>
        <v>6.098136940132747</v>
      </c>
      <c r="O86" s="67">
        <f t="shared" si="145"/>
        <v>0.61583738605721594</v>
      </c>
      <c r="P86" s="67">
        <f t="shared" si="146"/>
        <v>-0.11527854009645039</v>
      </c>
      <c r="Q86" s="67">
        <f t="shared" si="147"/>
        <v>0.16166963058774034</v>
      </c>
      <c r="R86" s="67">
        <f t="shared" si="148"/>
        <v>0.96992007101474909</v>
      </c>
      <c r="S86" s="67">
        <f t="shared" si="149"/>
        <v>1.3495764943622642E-2</v>
      </c>
      <c r="T86" s="67">
        <f t="shared" si="150"/>
        <v>-0.2724218770914929</v>
      </c>
      <c r="U86" s="67">
        <f t="shared" si="151"/>
        <v>0.40196207841246279</v>
      </c>
      <c r="V86" s="67">
        <f t="shared" si="152"/>
        <v>-6.905691948324133E-3</v>
      </c>
      <c r="W86" s="67">
        <f t="shared" si="153"/>
        <v>-0.13796663584816021</v>
      </c>
      <c r="X86" s="69">
        <f t="shared" si="154"/>
        <v>4.4939521153461482E-6</v>
      </c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2"/>
      <c r="BN86" s="2"/>
      <c r="BO86" s="2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</row>
    <row r="87" spans="1:109" ht="17.25" hidden="1">
      <c r="A87" s="2"/>
      <c r="B87" s="18">
        <f t="shared" si="141"/>
        <v>5</v>
      </c>
      <c r="C87" s="13">
        <f t="shared" si="142"/>
        <v>23.156245198892165</v>
      </c>
      <c r="D87" s="13">
        <f t="shared" si="142"/>
        <v>0.87739568904801357</v>
      </c>
      <c r="E87" s="13">
        <f t="shared" si="142"/>
        <v>0.5636317090002031</v>
      </c>
      <c r="F87" s="13">
        <f t="shared" si="142"/>
        <v>-0.12447087090453757</v>
      </c>
      <c r="G87" s="62">
        <f t="shared" si="142"/>
        <v>-0.46223590798026493</v>
      </c>
      <c r="H87" s="62">
        <f t="shared" si="142"/>
        <v>0.77680706210983785</v>
      </c>
      <c r="I87" s="62">
        <f t="shared" si="142"/>
        <v>0.62653397982276537</v>
      </c>
      <c r="J87" s="13">
        <f t="shared" si="142"/>
        <v>-0.82666666666666666</v>
      </c>
      <c r="K87" s="31">
        <f t="shared" si="143"/>
        <v>-0.68785676544307528</v>
      </c>
      <c r="L87" s="67">
        <f t="shared" si="144"/>
        <v>-0.38769788425403234</v>
      </c>
      <c r="M87" s="68">
        <f t="shared" si="138"/>
        <v>0.96301381970029132</v>
      </c>
      <c r="N87" s="67">
        <f t="shared" si="139"/>
        <v>6.0981381198678477</v>
      </c>
      <c r="O87" s="67">
        <f t="shared" si="145"/>
        <v>0.61583752205492748</v>
      </c>
      <c r="P87" s="67">
        <f t="shared" si="146"/>
        <v>-0.1152778135713895</v>
      </c>
      <c r="Q87" s="67">
        <f t="shared" si="147"/>
        <v>0.16166966628985954</v>
      </c>
      <c r="R87" s="67">
        <f t="shared" si="148"/>
        <v>0.96992013166299473</v>
      </c>
      <c r="S87" s="67">
        <f t="shared" si="149"/>
        <v>1.3495679888664111E-2</v>
      </c>
      <c r="T87" s="67">
        <f t="shared" si="150"/>
        <v>-0.27242007068264285</v>
      </c>
      <c r="U87" s="67">
        <f t="shared" si="151"/>
        <v>0.40196204271034353</v>
      </c>
      <c r="V87" s="67">
        <f t="shared" si="152"/>
        <v>-6.9063119627034153E-3</v>
      </c>
      <c r="W87" s="67">
        <f t="shared" si="153"/>
        <v>-0.13796655079320169</v>
      </c>
      <c r="X87" s="69">
        <f t="shared" si="154"/>
        <v>-9.6624509819952072E-12</v>
      </c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2"/>
      <c r="BN87" s="2"/>
      <c r="BO87" s="2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</row>
    <row r="88" spans="1:109" ht="17.25" hidden="1">
      <c r="A88" s="2"/>
      <c r="B88" s="18">
        <f t="shared" si="141"/>
        <v>6</v>
      </c>
      <c r="C88" s="13">
        <f t="shared" si="142"/>
        <v>23.156245198892165</v>
      </c>
      <c r="D88" s="13">
        <f t="shared" si="142"/>
        <v>0.87739568904801357</v>
      </c>
      <c r="E88" s="13">
        <f t="shared" si="142"/>
        <v>0.5636317090002031</v>
      </c>
      <c r="F88" s="13">
        <f t="shared" si="142"/>
        <v>-0.12447087090453757</v>
      </c>
      <c r="G88" s="62">
        <f t="shared" si="142"/>
        <v>-0.46223590798026493</v>
      </c>
      <c r="H88" s="62">
        <f t="shared" si="142"/>
        <v>0.77680706210983785</v>
      </c>
      <c r="I88" s="62">
        <f t="shared" si="142"/>
        <v>0.62653397982276537</v>
      </c>
      <c r="J88" s="13">
        <f t="shared" si="142"/>
        <v>-0.82666666666666666</v>
      </c>
      <c r="K88" s="31">
        <f t="shared" si="143"/>
        <v>-0.68785676545273777</v>
      </c>
      <c r="L88" s="67">
        <f t="shared" si="144"/>
        <v>-0.38769788425947843</v>
      </c>
      <c r="M88" s="68">
        <f t="shared" si="138"/>
        <v>0.96301381970149413</v>
      </c>
      <c r="N88" s="67">
        <f t="shared" si="139"/>
        <v>6.0981381198653111</v>
      </c>
      <c r="O88" s="67">
        <f t="shared" si="145"/>
        <v>0.61583752205463504</v>
      </c>
      <c r="P88" s="67">
        <f t="shared" si="146"/>
        <v>-0.11527781357295164</v>
      </c>
      <c r="Q88" s="67">
        <f t="shared" si="147"/>
        <v>0.1616696662897828</v>
      </c>
      <c r="R88" s="67">
        <f t="shared" si="148"/>
        <v>0.96992013166286428</v>
      </c>
      <c r="S88" s="67">
        <f t="shared" si="149"/>
        <v>1.3495679888846991E-2</v>
      </c>
      <c r="T88" s="67">
        <f t="shared" si="150"/>
        <v>-0.27242007068652679</v>
      </c>
      <c r="U88" s="67">
        <f t="shared" si="151"/>
        <v>0.4019620427104203</v>
      </c>
      <c r="V88" s="67">
        <f t="shared" si="152"/>
        <v>-6.9063119613701485E-3</v>
      </c>
      <c r="W88" s="67">
        <f t="shared" si="153"/>
        <v>-0.13796655079338455</v>
      </c>
      <c r="X88" s="69">
        <f t="shared" si="154"/>
        <v>5.802445966469391E-17</v>
      </c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2"/>
      <c r="BN88" s="2"/>
      <c r="BO88" s="2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</row>
    <row r="89" spans="1:109" ht="17.25" hidden="1">
      <c r="A89" s="2"/>
      <c r="B89" s="18">
        <f t="shared" si="141"/>
        <v>7</v>
      </c>
      <c r="C89" s="13">
        <f t="shared" si="142"/>
        <v>23.156245198892165</v>
      </c>
      <c r="D89" s="13">
        <f t="shared" si="142"/>
        <v>0.87739568904801357</v>
      </c>
      <c r="E89" s="13">
        <f t="shared" si="142"/>
        <v>0.5636317090002031</v>
      </c>
      <c r="F89" s="13">
        <f t="shared" si="142"/>
        <v>-0.12447087090453757</v>
      </c>
      <c r="G89" s="62">
        <f t="shared" si="142"/>
        <v>-0.46223590798026493</v>
      </c>
      <c r="H89" s="62">
        <f t="shared" si="142"/>
        <v>0.77680706210983785</v>
      </c>
      <c r="I89" s="62">
        <f t="shared" si="142"/>
        <v>0.62653397982276537</v>
      </c>
      <c r="J89" s="13">
        <f t="shared" si="142"/>
        <v>-0.82666666666666666</v>
      </c>
      <c r="K89" s="31">
        <f t="shared" si="143"/>
        <v>-0.68785676545273766</v>
      </c>
      <c r="L89" s="67">
        <f t="shared" si="144"/>
        <v>-0.38769788425947838</v>
      </c>
      <c r="M89" s="68">
        <f t="shared" si="138"/>
        <v>0.96301381970149402</v>
      </c>
      <c r="N89" s="67">
        <f t="shared" si="139"/>
        <v>6.0981381198653111</v>
      </c>
      <c r="O89" s="67">
        <f t="shared" si="145"/>
        <v>0.61583752205463504</v>
      </c>
      <c r="P89" s="67">
        <f t="shared" si="146"/>
        <v>-0.11527781357295164</v>
      </c>
      <c r="Q89" s="67">
        <f t="shared" si="147"/>
        <v>0.1616696662897828</v>
      </c>
      <c r="R89" s="67">
        <f t="shared" si="148"/>
        <v>0.96992013166286428</v>
      </c>
      <c r="S89" s="67">
        <f t="shared" si="149"/>
        <v>1.3495679888846991E-2</v>
      </c>
      <c r="T89" s="67">
        <f t="shared" si="150"/>
        <v>-0.27242007068652674</v>
      </c>
      <c r="U89" s="67">
        <f t="shared" si="151"/>
        <v>0.4019620427104203</v>
      </c>
      <c r="V89" s="67">
        <f t="shared" si="152"/>
        <v>-6.9063119613702595E-3</v>
      </c>
      <c r="W89" s="67">
        <f t="shared" si="153"/>
        <v>-0.13796655079338455</v>
      </c>
      <c r="X89" s="69">
        <f t="shared" si="154"/>
        <v>-1.2666124654078965E-16</v>
      </c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2"/>
      <c r="BN89" s="2"/>
      <c r="BO89" s="2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</row>
    <row r="90" spans="1:109" ht="17.25" hidden="1">
      <c r="A90" s="2"/>
      <c r="B90" s="18">
        <f t="shared" si="141"/>
        <v>8</v>
      </c>
      <c r="C90" s="13">
        <f t="shared" si="142"/>
        <v>23.156245198892165</v>
      </c>
      <c r="D90" s="13">
        <f t="shared" si="142"/>
        <v>0.87739568904801357</v>
      </c>
      <c r="E90" s="13">
        <f t="shared" si="142"/>
        <v>0.5636317090002031</v>
      </c>
      <c r="F90" s="13">
        <f t="shared" si="142"/>
        <v>-0.12447087090453757</v>
      </c>
      <c r="G90" s="62">
        <f t="shared" si="142"/>
        <v>-0.46223590798026493</v>
      </c>
      <c r="H90" s="62">
        <f t="shared" si="142"/>
        <v>0.77680706210983785</v>
      </c>
      <c r="I90" s="62">
        <f t="shared" si="142"/>
        <v>0.62653397982276537</v>
      </c>
      <c r="J90" s="13">
        <f t="shared" si="142"/>
        <v>-0.82666666666666666</v>
      </c>
      <c r="K90" s="31">
        <f t="shared" si="143"/>
        <v>-0.68785676545273777</v>
      </c>
      <c r="L90" s="67">
        <f t="shared" si="144"/>
        <v>-0.38769788425947843</v>
      </c>
      <c r="M90" s="68">
        <f t="shared" si="138"/>
        <v>0.96301381970149413</v>
      </c>
      <c r="N90" s="67">
        <f t="shared" si="139"/>
        <v>6.0981381198653111</v>
      </c>
      <c r="O90" s="67">
        <f t="shared" si="145"/>
        <v>0.61583752205463504</v>
      </c>
      <c r="P90" s="67">
        <f t="shared" si="146"/>
        <v>-0.11527781357295164</v>
      </c>
      <c r="Q90" s="67">
        <f t="shared" si="147"/>
        <v>0.1616696662897828</v>
      </c>
      <c r="R90" s="67">
        <f t="shared" si="148"/>
        <v>0.96992013166286428</v>
      </c>
      <c r="S90" s="67">
        <f t="shared" si="149"/>
        <v>1.3495679888846991E-2</v>
      </c>
      <c r="T90" s="67">
        <f t="shared" si="150"/>
        <v>-0.27242007068652679</v>
      </c>
      <c r="U90" s="67">
        <f t="shared" si="151"/>
        <v>0.4019620427104203</v>
      </c>
      <c r="V90" s="67">
        <f t="shared" si="152"/>
        <v>-6.9063119613701485E-3</v>
      </c>
      <c r="W90" s="67">
        <f t="shared" si="153"/>
        <v>-0.13796655079338455</v>
      </c>
      <c r="X90" s="69">
        <f t="shared" si="154"/>
        <v>5.802445966469391E-17</v>
      </c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2"/>
      <c r="BN90" s="2"/>
      <c r="BO90" s="2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</row>
    <row r="91" spans="1:109" ht="17.25" hidden="1">
      <c r="A91" s="2"/>
      <c r="B91" s="18">
        <f t="shared" si="141"/>
        <v>9</v>
      </c>
      <c r="C91" s="13">
        <f t="shared" si="142"/>
        <v>23.156245198892165</v>
      </c>
      <c r="D91" s="13">
        <f t="shared" si="142"/>
        <v>0.87739568904801357</v>
      </c>
      <c r="E91" s="13">
        <f t="shared" si="142"/>
        <v>0.5636317090002031</v>
      </c>
      <c r="F91" s="13">
        <f t="shared" si="142"/>
        <v>-0.12447087090453757</v>
      </c>
      <c r="G91" s="62">
        <f t="shared" si="142"/>
        <v>-0.46223590798026493</v>
      </c>
      <c r="H91" s="62">
        <f t="shared" si="142"/>
        <v>0.77680706210983785</v>
      </c>
      <c r="I91" s="62">
        <f t="shared" si="142"/>
        <v>0.62653397982276537</v>
      </c>
      <c r="J91" s="13">
        <f t="shared" si="142"/>
        <v>-0.82666666666666666</v>
      </c>
      <c r="K91" s="31">
        <f t="shared" si="143"/>
        <v>-0.68785676545273766</v>
      </c>
      <c r="L91" s="67">
        <f t="shared" si="144"/>
        <v>-0.38769788425947838</v>
      </c>
      <c r="M91" s="68">
        <f t="shared" si="138"/>
        <v>0.96301381970149402</v>
      </c>
      <c r="N91" s="67">
        <f t="shared" si="139"/>
        <v>6.0981381198653111</v>
      </c>
      <c r="O91" s="67">
        <f t="shared" si="145"/>
        <v>0.61583752205463504</v>
      </c>
      <c r="P91" s="67">
        <f t="shared" si="146"/>
        <v>-0.11527781357295164</v>
      </c>
      <c r="Q91" s="67">
        <f t="shared" si="147"/>
        <v>0.1616696662897828</v>
      </c>
      <c r="R91" s="67">
        <f t="shared" si="148"/>
        <v>0.96992013166286428</v>
      </c>
      <c r="S91" s="67">
        <f t="shared" si="149"/>
        <v>1.3495679888846991E-2</v>
      </c>
      <c r="T91" s="67">
        <f t="shared" si="150"/>
        <v>-0.27242007068652674</v>
      </c>
      <c r="U91" s="67">
        <f t="shared" si="151"/>
        <v>0.4019620427104203</v>
      </c>
      <c r="V91" s="67">
        <f t="shared" si="152"/>
        <v>-6.9063119613702595E-3</v>
      </c>
      <c r="W91" s="67">
        <f t="shared" si="153"/>
        <v>-0.13796655079338455</v>
      </c>
      <c r="X91" s="69">
        <f t="shared" si="154"/>
        <v>-1.2666124654078965E-16</v>
      </c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2"/>
      <c r="BN91" s="2"/>
      <c r="BO91" s="2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</row>
    <row r="92" spans="1:109" ht="17.25" hidden="1">
      <c r="A92" s="2"/>
      <c r="B92" s="18">
        <f t="shared" si="141"/>
        <v>10</v>
      </c>
      <c r="C92" s="13">
        <f t="shared" si="142"/>
        <v>23.156245198892165</v>
      </c>
      <c r="D92" s="13">
        <f t="shared" si="142"/>
        <v>0.87739568904801357</v>
      </c>
      <c r="E92" s="13">
        <f t="shared" si="142"/>
        <v>0.5636317090002031</v>
      </c>
      <c r="F92" s="13">
        <f t="shared" si="142"/>
        <v>-0.12447087090453757</v>
      </c>
      <c r="G92" s="62">
        <f t="shared" si="142"/>
        <v>-0.46223590798026493</v>
      </c>
      <c r="H92" s="62">
        <f t="shared" si="142"/>
        <v>0.77680706210983785</v>
      </c>
      <c r="I92" s="62">
        <f t="shared" si="142"/>
        <v>0.62653397982276537</v>
      </c>
      <c r="J92" s="13">
        <f t="shared" si="142"/>
        <v>-0.82666666666666666</v>
      </c>
      <c r="K92" s="31">
        <f t="shared" si="143"/>
        <v>-0.68785676545273777</v>
      </c>
      <c r="L92" s="67">
        <f t="shared" si="144"/>
        <v>-0.38769788425947843</v>
      </c>
      <c r="M92" s="68">
        <f t="shared" si="138"/>
        <v>0.96301381970149413</v>
      </c>
      <c r="N92" s="67">
        <f t="shared" si="139"/>
        <v>6.0981381198653111</v>
      </c>
      <c r="O92" s="67">
        <f t="shared" si="145"/>
        <v>0.61583752205463504</v>
      </c>
      <c r="P92" s="67">
        <f t="shared" si="146"/>
        <v>-0.11527781357295164</v>
      </c>
      <c r="Q92" s="67">
        <f t="shared" si="147"/>
        <v>0.1616696662897828</v>
      </c>
      <c r="R92" s="67">
        <f t="shared" si="148"/>
        <v>0.96992013166286428</v>
      </c>
      <c r="S92" s="67">
        <f t="shared" si="149"/>
        <v>1.3495679888846991E-2</v>
      </c>
      <c r="T92" s="67">
        <f t="shared" si="150"/>
        <v>-0.27242007068652679</v>
      </c>
      <c r="U92" s="67">
        <f t="shared" si="151"/>
        <v>0.4019620427104203</v>
      </c>
      <c r="V92" s="67">
        <f t="shared" si="152"/>
        <v>-6.9063119613701485E-3</v>
      </c>
      <c r="W92" s="67">
        <f t="shared" si="153"/>
        <v>-0.13796655079338455</v>
      </c>
      <c r="X92" s="69">
        <f t="shared" si="154"/>
        <v>5.802445966469391E-17</v>
      </c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2"/>
      <c r="BN92" s="2"/>
      <c r="BO92" s="2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</row>
    <row r="93" spans="1:109" ht="17.25" hidden="1">
      <c r="A93" s="2"/>
      <c r="B93" s="18">
        <f t="shared" si="141"/>
        <v>11</v>
      </c>
      <c r="C93" s="13">
        <f t="shared" si="142"/>
        <v>23.156245198892165</v>
      </c>
      <c r="D93" s="13">
        <f t="shared" si="142"/>
        <v>0.87739568904801357</v>
      </c>
      <c r="E93" s="13">
        <f t="shared" si="142"/>
        <v>0.5636317090002031</v>
      </c>
      <c r="F93" s="13">
        <f t="shared" si="142"/>
        <v>-0.12447087090453757</v>
      </c>
      <c r="G93" s="62">
        <f t="shared" si="142"/>
        <v>-0.46223590798026493</v>
      </c>
      <c r="H93" s="62">
        <f t="shared" si="142"/>
        <v>0.77680706210983785</v>
      </c>
      <c r="I93" s="62">
        <f t="shared" si="142"/>
        <v>0.62653397982276537</v>
      </c>
      <c r="J93" s="13">
        <f t="shared" si="142"/>
        <v>-0.82666666666666666</v>
      </c>
      <c r="K93" s="31">
        <f t="shared" si="143"/>
        <v>-0.68785676545273766</v>
      </c>
      <c r="L93" s="67">
        <f t="shared" si="144"/>
        <v>-0.38769788425947838</v>
      </c>
      <c r="M93" s="68">
        <f t="shared" si="138"/>
        <v>0.96301381970149402</v>
      </c>
      <c r="N93" s="67">
        <f t="shared" si="139"/>
        <v>6.0981381198653111</v>
      </c>
      <c r="O93" s="67">
        <f t="shared" si="145"/>
        <v>0.61583752205463504</v>
      </c>
      <c r="P93" s="67">
        <f t="shared" si="146"/>
        <v>-0.11527781357295164</v>
      </c>
      <c r="Q93" s="67">
        <f t="shared" si="147"/>
        <v>0.1616696662897828</v>
      </c>
      <c r="R93" s="67">
        <f t="shared" si="148"/>
        <v>0.96992013166286428</v>
      </c>
      <c r="S93" s="67">
        <f t="shared" si="149"/>
        <v>1.3495679888846991E-2</v>
      </c>
      <c r="T93" s="67">
        <f t="shared" si="150"/>
        <v>-0.27242007068652674</v>
      </c>
      <c r="U93" s="67">
        <f t="shared" si="151"/>
        <v>0.4019620427104203</v>
      </c>
      <c r="V93" s="67">
        <f t="shared" si="152"/>
        <v>-6.9063119613702595E-3</v>
      </c>
      <c r="W93" s="67">
        <f t="shared" si="153"/>
        <v>-0.13796655079338455</v>
      </c>
      <c r="X93" s="69">
        <f t="shared" si="154"/>
        <v>-1.2666124654078965E-16</v>
      </c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2"/>
      <c r="BN93" s="2"/>
      <c r="BO93" s="2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</row>
    <row r="94" spans="1:109" ht="17.25" hidden="1">
      <c r="A94" s="2"/>
      <c r="B94" s="18">
        <f t="shared" si="141"/>
        <v>12</v>
      </c>
      <c r="C94" s="13">
        <f t="shared" si="142"/>
        <v>23.156245198892165</v>
      </c>
      <c r="D94" s="13">
        <f t="shared" si="142"/>
        <v>0.87739568904801357</v>
      </c>
      <c r="E94" s="13">
        <f t="shared" si="142"/>
        <v>0.5636317090002031</v>
      </c>
      <c r="F94" s="13">
        <f t="shared" si="142"/>
        <v>-0.12447087090453757</v>
      </c>
      <c r="G94" s="62">
        <f t="shared" si="142"/>
        <v>-0.46223590798026493</v>
      </c>
      <c r="H94" s="62">
        <f t="shared" si="142"/>
        <v>0.77680706210983785</v>
      </c>
      <c r="I94" s="62">
        <f t="shared" si="142"/>
        <v>0.62653397982276537</v>
      </c>
      <c r="J94" s="13">
        <f t="shared" si="142"/>
        <v>-0.82666666666666666</v>
      </c>
      <c r="K94" s="31">
        <f t="shared" si="143"/>
        <v>-0.68785676545273777</v>
      </c>
      <c r="L94" s="67">
        <f t="shared" si="144"/>
        <v>-0.38769788425947843</v>
      </c>
      <c r="M94" s="68">
        <f t="shared" si="138"/>
        <v>0.96301381970149413</v>
      </c>
      <c r="N94" s="67">
        <f t="shared" si="139"/>
        <v>6.0981381198653111</v>
      </c>
      <c r="O94" s="67">
        <f t="shared" si="145"/>
        <v>0.61583752205463504</v>
      </c>
      <c r="P94" s="67">
        <f t="shared" si="146"/>
        <v>-0.11527781357295164</v>
      </c>
      <c r="Q94" s="67">
        <f t="shared" si="147"/>
        <v>0.1616696662897828</v>
      </c>
      <c r="R94" s="67">
        <f t="shared" si="148"/>
        <v>0.96992013166286428</v>
      </c>
      <c r="S94" s="67">
        <f t="shared" si="149"/>
        <v>1.3495679888846991E-2</v>
      </c>
      <c r="T94" s="67">
        <f t="shared" si="150"/>
        <v>-0.27242007068652679</v>
      </c>
      <c r="U94" s="67">
        <f t="shared" si="151"/>
        <v>0.4019620427104203</v>
      </c>
      <c r="V94" s="67">
        <f t="shared" si="152"/>
        <v>-6.9063119613701485E-3</v>
      </c>
      <c r="W94" s="67">
        <f t="shared" si="153"/>
        <v>-0.13796655079338455</v>
      </c>
      <c r="X94" s="69">
        <f t="shared" si="154"/>
        <v>5.802445966469391E-17</v>
      </c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2"/>
      <c r="BN94" s="2"/>
      <c r="BO94" s="2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</row>
    <row r="95" spans="1:109" ht="17.25" hidden="1">
      <c r="B95" s="18">
        <f t="shared" si="141"/>
        <v>13</v>
      </c>
      <c r="C95" s="13">
        <f t="shared" si="142"/>
        <v>23.156245198892165</v>
      </c>
      <c r="D95" s="13">
        <f t="shared" si="142"/>
        <v>0.87739568904801357</v>
      </c>
      <c r="E95" s="13">
        <f t="shared" si="142"/>
        <v>0.5636317090002031</v>
      </c>
      <c r="F95" s="13">
        <f t="shared" si="142"/>
        <v>-0.12447087090453757</v>
      </c>
      <c r="G95" s="62">
        <f t="shared" si="142"/>
        <v>-0.46223590798026493</v>
      </c>
      <c r="H95" s="62">
        <f t="shared" si="142"/>
        <v>0.77680706210983785</v>
      </c>
      <c r="I95" s="62">
        <f t="shared" si="142"/>
        <v>0.62653397982276537</v>
      </c>
      <c r="J95" s="13">
        <f t="shared" si="142"/>
        <v>-0.82666666666666666</v>
      </c>
      <c r="K95" s="31">
        <f t="shared" si="143"/>
        <v>-0.68785676545273766</v>
      </c>
      <c r="L95" s="67">
        <f t="shared" si="144"/>
        <v>-0.38769788425947838</v>
      </c>
      <c r="M95" s="68">
        <f t="shared" si="138"/>
        <v>0.96301381970149402</v>
      </c>
      <c r="N95" s="67">
        <f t="shared" si="139"/>
        <v>6.0981381198653111</v>
      </c>
      <c r="O95" s="67">
        <f t="shared" si="145"/>
        <v>0.61583752205463504</v>
      </c>
      <c r="P95" s="67">
        <f t="shared" si="146"/>
        <v>-0.11527781357295164</v>
      </c>
      <c r="Q95" s="67">
        <f t="shared" si="147"/>
        <v>0.1616696662897828</v>
      </c>
      <c r="R95" s="67">
        <f t="shared" si="148"/>
        <v>0.96992013166286428</v>
      </c>
      <c r="S95" s="67">
        <f t="shared" si="149"/>
        <v>1.3495679888846991E-2</v>
      </c>
      <c r="T95" s="67">
        <f t="shared" si="150"/>
        <v>-0.27242007068652674</v>
      </c>
      <c r="U95" s="67">
        <f t="shared" si="151"/>
        <v>0.4019620427104203</v>
      </c>
      <c r="V95" s="67">
        <f t="shared" si="152"/>
        <v>-6.9063119613702595E-3</v>
      </c>
      <c r="W95" s="67">
        <f t="shared" si="153"/>
        <v>-0.13796655079338455</v>
      </c>
      <c r="X95" s="69">
        <f t="shared" si="154"/>
        <v>-1.2666124654078965E-16</v>
      </c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2"/>
      <c r="BN95" s="2"/>
      <c r="BO95" s="2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</row>
    <row r="96" spans="1:109" ht="17.25" hidden="1">
      <c r="B96" s="18">
        <f t="shared" si="141"/>
        <v>14</v>
      </c>
      <c r="C96" s="13">
        <f t="shared" si="142"/>
        <v>23.156245198892165</v>
      </c>
      <c r="D96" s="13">
        <f t="shared" si="142"/>
        <v>0.87739568904801357</v>
      </c>
      <c r="E96" s="13">
        <f t="shared" si="142"/>
        <v>0.5636317090002031</v>
      </c>
      <c r="F96" s="13">
        <f t="shared" si="142"/>
        <v>-0.12447087090453757</v>
      </c>
      <c r="G96" s="62">
        <f t="shared" si="142"/>
        <v>-0.46223590798026493</v>
      </c>
      <c r="H96" s="62">
        <f t="shared" si="142"/>
        <v>0.77680706210983785</v>
      </c>
      <c r="I96" s="62">
        <f t="shared" si="142"/>
        <v>0.62653397982276537</v>
      </c>
      <c r="J96" s="13">
        <f t="shared" si="142"/>
        <v>-0.82666666666666666</v>
      </c>
      <c r="K96" s="31">
        <f t="shared" si="143"/>
        <v>-0.68785676545273777</v>
      </c>
      <c r="L96" s="67">
        <f t="shared" si="144"/>
        <v>-0.38769788425947843</v>
      </c>
      <c r="M96" s="68">
        <f t="shared" si="138"/>
        <v>0.96301381970149413</v>
      </c>
      <c r="N96" s="67">
        <f t="shared" si="139"/>
        <v>6.0981381198653111</v>
      </c>
      <c r="O96" s="67">
        <f t="shared" si="145"/>
        <v>0.61583752205463504</v>
      </c>
      <c r="P96" s="67">
        <f t="shared" si="146"/>
        <v>-0.11527781357295164</v>
      </c>
      <c r="Q96" s="67">
        <f t="shared" si="147"/>
        <v>0.1616696662897828</v>
      </c>
      <c r="R96" s="67">
        <f t="shared" si="148"/>
        <v>0.96992013166286428</v>
      </c>
      <c r="S96" s="67">
        <f t="shared" si="149"/>
        <v>1.3495679888846991E-2</v>
      </c>
      <c r="T96" s="67">
        <f t="shared" si="150"/>
        <v>-0.27242007068652679</v>
      </c>
      <c r="U96" s="67">
        <f t="shared" si="151"/>
        <v>0.4019620427104203</v>
      </c>
      <c r="V96" s="67">
        <f t="shared" si="152"/>
        <v>-6.9063119613701485E-3</v>
      </c>
      <c r="W96" s="67">
        <f t="shared" si="153"/>
        <v>-0.13796655079338455</v>
      </c>
      <c r="X96" s="69">
        <f t="shared" si="154"/>
        <v>5.802445966469391E-17</v>
      </c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2"/>
      <c r="BN96" s="2"/>
      <c r="BO96" s="2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</row>
    <row r="97" spans="2:109" ht="17.25" hidden="1">
      <c r="B97" s="18">
        <f t="shared" si="141"/>
        <v>15</v>
      </c>
      <c r="C97" s="13">
        <f t="shared" si="142"/>
        <v>23.156245198892165</v>
      </c>
      <c r="D97" s="13">
        <f t="shared" si="142"/>
        <v>0.87739568904801357</v>
      </c>
      <c r="E97" s="13">
        <f t="shared" si="142"/>
        <v>0.5636317090002031</v>
      </c>
      <c r="F97" s="13">
        <f t="shared" si="142"/>
        <v>-0.12447087090453757</v>
      </c>
      <c r="G97" s="62">
        <f t="shared" si="142"/>
        <v>-0.46223590798026493</v>
      </c>
      <c r="H97" s="62">
        <f t="shared" si="142"/>
        <v>0.77680706210983785</v>
      </c>
      <c r="I97" s="62">
        <f t="shared" si="142"/>
        <v>0.62653397982276537</v>
      </c>
      <c r="J97" s="13">
        <f t="shared" si="142"/>
        <v>-0.82666666666666666</v>
      </c>
      <c r="K97" s="31">
        <f t="shared" si="143"/>
        <v>-0.68785676545273766</v>
      </c>
      <c r="L97" s="67">
        <f t="shared" si="144"/>
        <v>-0.38769788425947838</v>
      </c>
      <c r="M97" s="68">
        <f t="shared" si="138"/>
        <v>0.96301381970149402</v>
      </c>
      <c r="N97" s="67">
        <f t="shared" si="139"/>
        <v>6.0981381198653111</v>
      </c>
      <c r="O97" s="67">
        <f t="shared" si="145"/>
        <v>0.61583752205463504</v>
      </c>
      <c r="P97" s="67">
        <f t="shared" si="146"/>
        <v>-0.11527781357295164</v>
      </c>
      <c r="Q97" s="67">
        <f t="shared" si="147"/>
        <v>0.1616696662897828</v>
      </c>
      <c r="R97" s="67">
        <f t="shared" si="148"/>
        <v>0.96992013166286428</v>
      </c>
      <c r="S97" s="67">
        <f t="shared" si="149"/>
        <v>1.3495679888846991E-2</v>
      </c>
      <c r="T97" s="67">
        <f t="shared" si="150"/>
        <v>-0.27242007068652674</v>
      </c>
      <c r="U97" s="67">
        <f t="shared" si="151"/>
        <v>0.4019620427104203</v>
      </c>
      <c r="V97" s="67">
        <f t="shared" si="152"/>
        <v>-6.9063119613702595E-3</v>
      </c>
      <c r="W97" s="67">
        <f t="shared" si="153"/>
        <v>-0.13796655079338455</v>
      </c>
      <c r="X97" s="69">
        <f t="shared" si="154"/>
        <v>-1.2666124654078965E-16</v>
      </c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2"/>
      <c r="BN97" s="2"/>
      <c r="BO97" s="2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</row>
    <row r="98" spans="2:109" ht="17.25" hidden="1">
      <c r="B98" s="18">
        <f t="shared" si="141"/>
        <v>16</v>
      </c>
      <c r="C98" s="13">
        <f t="shared" si="142"/>
        <v>23.156245198892165</v>
      </c>
      <c r="D98" s="13">
        <f t="shared" si="142"/>
        <v>0.87739568904801357</v>
      </c>
      <c r="E98" s="13">
        <f t="shared" si="142"/>
        <v>0.5636317090002031</v>
      </c>
      <c r="F98" s="13">
        <f t="shared" si="142"/>
        <v>-0.12447087090453757</v>
      </c>
      <c r="G98" s="62">
        <f t="shared" si="142"/>
        <v>-0.46223590798026493</v>
      </c>
      <c r="H98" s="62">
        <f t="shared" si="142"/>
        <v>0.77680706210983785</v>
      </c>
      <c r="I98" s="62">
        <f t="shared" si="142"/>
        <v>0.62653397982276537</v>
      </c>
      <c r="J98" s="13">
        <f t="shared" si="142"/>
        <v>-0.82666666666666666</v>
      </c>
      <c r="K98" s="31">
        <f t="shared" si="143"/>
        <v>-0.68785676545273777</v>
      </c>
      <c r="L98" s="67">
        <f t="shared" si="144"/>
        <v>-0.38769788425947843</v>
      </c>
      <c r="M98" s="68">
        <f t="shared" si="138"/>
        <v>0.96301381970149413</v>
      </c>
      <c r="N98" s="67">
        <f t="shared" si="139"/>
        <v>6.0981381198653111</v>
      </c>
      <c r="O98" s="67">
        <f t="shared" si="145"/>
        <v>0.61583752205463504</v>
      </c>
      <c r="P98" s="67">
        <f t="shared" si="146"/>
        <v>-0.11527781357295164</v>
      </c>
      <c r="Q98" s="67">
        <f t="shared" si="147"/>
        <v>0.1616696662897828</v>
      </c>
      <c r="R98" s="67">
        <f t="shared" si="148"/>
        <v>0.96992013166286428</v>
      </c>
      <c r="S98" s="67">
        <f t="shared" si="149"/>
        <v>1.3495679888846991E-2</v>
      </c>
      <c r="T98" s="67">
        <f t="shared" si="150"/>
        <v>-0.27242007068652679</v>
      </c>
      <c r="U98" s="67">
        <f t="shared" si="151"/>
        <v>0.4019620427104203</v>
      </c>
      <c r="V98" s="67">
        <f t="shared" si="152"/>
        <v>-6.9063119613701485E-3</v>
      </c>
      <c r="W98" s="67">
        <f t="shared" si="153"/>
        <v>-0.13796655079338455</v>
      </c>
      <c r="X98" s="69">
        <f t="shared" si="154"/>
        <v>5.802445966469391E-17</v>
      </c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2"/>
      <c r="BN98" s="2"/>
      <c r="BO98" s="2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</row>
    <row r="99" spans="2:109" ht="17.25" hidden="1">
      <c r="B99" s="18">
        <f t="shared" si="141"/>
        <v>17</v>
      </c>
      <c r="C99" s="13">
        <f t="shared" si="142"/>
        <v>23.156245198892165</v>
      </c>
      <c r="D99" s="13">
        <f t="shared" si="142"/>
        <v>0.87739568904801357</v>
      </c>
      <c r="E99" s="13">
        <f t="shared" si="142"/>
        <v>0.5636317090002031</v>
      </c>
      <c r="F99" s="13">
        <f t="shared" si="142"/>
        <v>-0.12447087090453757</v>
      </c>
      <c r="G99" s="62">
        <f t="shared" si="142"/>
        <v>-0.46223590798026493</v>
      </c>
      <c r="H99" s="62">
        <f t="shared" si="142"/>
        <v>0.77680706210983785</v>
      </c>
      <c r="I99" s="62">
        <f t="shared" si="142"/>
        <v>0.62653397982276537</v>
      </c>
      <c r="J99" s="13">
        <f t="shared" si="142"/>
        <v>-0.82666666666666666</v>
      </c>
      <c r="K99" s="31">
        <f t="shared" si="143"/>
        <v>-0.68785676545273766</v>
      </c>
      <c r="L99" s="67">
        <f t="shared" si="144"/>
        <v>-0.38769788425947838</v>
      </c>
      <c r="M99" s="68">
        <f t="shared" si="138"/>
        <v>0.96301381970149402</v>
      </c>
      <c r="N99" s="67">
        <f t="shared" si="139"/>
        <v>6.0981381198653111</v>
      </c>
      <c r="O99" s="67">
        <f t="shared" si="145"/>
        <v>0.61583752205463504</v>
      </c>
      <c r="P99" s="67">
        <f t="shared" si="146"/>
        <v>-0.11527781357295164</v>
      </c>
      <c r="Q99" s="67">
        <f t="shared" si="147"/>
        <v>0.1616696662897828</v>
      </c>
      <c r="R99" s="67">
        <f t="shared" si="148"/>
        <v>0.96992013166286428</v>
      </c>
      <c r="S99" s="67">
        <f t="shared" si="149"/>
        <v>1.3495679888846991E-2</v>
      </c>
      <c r="T99" s="67">
        <f t="shared" si="150"/>
        <v>-0.27242007068652674</v>
      </c>
      <c r="U99" s="67">
        <f t="shared" si="151"/>
        <v>0.4019620427104203</v>
      </c>
      <c r="V99" s="67">
        <f t="shared" si="152"/>
        <v>-6.9063119613702595E-3</v>
      </c>
      <c r="W99" s="67">
        <f t="shared" si="153"/>
        <v>-0.13796655079338455</v>
      </c>
      <c r="X99" s="69">
        <f t="shared" si="154"/>
        <v>-1.2666124654078965E-16</v>
      </c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2"/>
      <c r="BN99" s="2"/>
      <c r="BO99" s="2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</row>
    <row r="100" spans="2:109" ht="17.25" hidden="1">
      <c r="B100" s="18">
        <f t="shared" si="141"/>
        <v>18</v>
      </c>
      <c r="C100" s="13">
        <f t="shared" ref="C100:J102" si="155">C99</f>
        <v>23.156245198892165</v>
      </c>
      <c r="D100" s="13">
        <f t="shared" si="155"/>
        <v>0.87739568904801357</v>
      </c>
      <c r="E100" s="13">
        <f t="shared" si="155"/>
        <v>0.5636317090002031</v>
      </c>
      <c r="F100" s="13">
        <f t="shared" si="155"/>
        <v>-0.12447087090453757</v>
      </c>
      <c r="G100" s="62">
        <f t="shared" si="155"/>
        <v>-0.46223590798026493</v>
      </c>
      <c r="H100" s="62">
        <f t="shared" si="155"/>
        <v>0.77680706210983785</v>
      </c>
      <c r="I100" s="62">
        <f t="shared" si="155"/>
        <v>0.62653397982276537</v>
      </c>
      <c r="J100" s="13">
        <f t="shared" si="155"/>
        <v>-0.82666666666666666</v>
      </c>
      <c r="K100" s="31">
        <f t="shared" si="143"/>
        <v>-0.68785676545273777</v>
      </c>
      <c r="L100" s="67">
        <f t="shared" si="144"/>
        <v>-0.38769788425947843</v>
      </c>
      <c r="M100" s="68">
        <f t="shared" si="138"/>
        <v>0.96301381970149413</v>
      </c>
      <c r="N100" s="67">
        <f t="shared" si="139"/>
        <v>6.0981381198653111</v>
      </c>
      <c r="O100" s="67">
        <f t="shared" si="145"/>
        <v>0.61583752205463504</v>
      </c>
      <c r="P100" s="67">
        <f t="shared" si="146"/>
        <v>-0.11527781357295164</v>
      </c>
      <c r="Q100" s="67">
        <f t="shared" si="147"/>
        <v>0.1616696662897828</v>
      </c>
      <c r="R100" s="67">
        <f t="shared" si="148"/>
        <v>0.96992013166286428</v>
      </c>
      <c r="S100" s="67">
        <f t="shared" si="149"/>
        <v>1.3495679888846991E-2</v>
      </c>
      <c r="T100" s="67">
        <f t="shared" si="150"/>
        <v>-0.27242007068652679</v>
      </c>
      <c r="U100" s="67">
        <f t="shared" si="151"/>
        <v>0.4019620427104203</v>
      </c>
      <c r="V100" s="67">
        <f t="shared" si="152"/>
        <v>-6.9063119613701485E-3</v>
      </c>
      <c r="W100" s="67">
        <f t="shared" si="153"/>
        <v>-0.13796655079338455</v>
      </c>
      <c r="X100" s="69">
        <f t="shared" si="154"/>
        <v>5.802445966469391E-17</v>
      </c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2"/>
      <c r="BN100" s="2"/>
      <c r="BO100" s="2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</row>
    <row r="101" spans="2:109" ht="17.25" hidden="1">
      <c r="B101" s="18">
        <f t="shared" si="141"/>
        <v>19</v>
      </c>
      <c r="C101" s="13">
        <f t="shared" si="155"/>
        <v>23.156245198892165</v>
      </c>
      <c r="D101" s="13">
        <f t="shared" si="155"/>
        <v>0.87739568904801357</v>
      </c>
      <c r="E101" s="13">
        <f t="shared" si="155"/>
        <v>0.5636317090002031</v>
      </c>
      <c r="F101" s="13">
        <f t="shared" si="155"/>
        <v>-0.12447087090453757</v>
      </c>
      <c r="G101" s="62">
        <f t="shared" si="155"/>
        <v>-0.46223590798026493</v>
      </c>
      <c r="H101" s="62">
        <f t="shared" si="155"/>
        <v>0.77680706210983785</v>
      </c>
      <c r="I101" s="62">
        <f t="shared" si="155"/>
        <v>0.62653397982276537</v>
      </c>
      <c r="J101" s="13">
        <f t="shared" si="155"/>
        <v>-0.82666666666666666</v>
      </c>
      <c r="K101" s="31">
        <f t="shared" si="143"/>
        <v>-0.68785676545273766</v>
      </c>
      <c r="L101" s="67">
        <f t="shared" si="144"/>
        <v>-0.38769788425947838</v>
      </c>
      <c r="M101" s="68">
        <f t="shared" si="138"/>
        <v>0.96301381970149402</v>
      </c>
      <c r="N101" s="67">
        <f t="shared" si="139"/>
        <v>6.0981381198653111</v>
      </c>
      <c r="O101" s="67">
        <f t="shared" si="145"/>
        <v>0.61583752205463504</v>
      </c>
      <c r="P101" s="67">
        <f t="shared" si="146"/>
        <v>-0.11527781357295164</v>
      </c>
      <c r="Q101" s="67">
        <f t="shared" si="147"/>
        <v>0.1616696662897828</v>
      </c>
      <c r="R101" s="67">
        <f t="shared" si="148"/>
        <v>0.96992013166286428</v>
      </c>
      <c r="S101" s="67">
        <f t="shared" si="149"/>
        <v>1.3495679888846991E-2</v>
      </c>
      <c r="T101" s="67">
        <f t="shared" si="150"/>
        <v>-0.27242007068652674</v>
      </c>
      <c r="U101" s="67">
        <f t="shared" si="151"/>
        <v>0.4019620427104203</v>
      </c>
      <c r="V101" s="67">
        <f t="shared" si="152"/>
        <v>-6.9063119613702595E-3</v>
      </c>
      <c r="W101" s="67">
        <f t="shared" si="153"/>
        <v>-0.13796655079338455</v>
      </c>
      <c r="X101" s="69">
        <f t="shared" si="154"/>
        <v>-1.2666124654078965E-16</v>
      </c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2"/>
      <c r="BN101" s="2"/>
      <c r="BO101" s="2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</row>
    <row r="102" spans="2:109" ht="17.25" hidden="1">
      <c r="B102" s="18">
        <f t="shared" si="141"/>
        <v>20</v>
      </c>
      <c r="C102" s="13">
        <f t="shared" si="155"/>
        <v>23.156245198892165</v>
      </c>
      <c r="D102" s="13">
        <f t="shared" si="155"/>
        <v>0.87739568904801357</v>
      </c>
      <c r="E102" s="13">
        <f t="shared" si="155"/>
        <v>0.5636317090002031</v>
      </c>
      <c r="F102" s="13">
        <f t="shared" si="155"/>
        <v>-0.12447087090453757</v>
      </c>
      <c r="G102" s="62">
        <f t="shared" si="155"/>
        <v>-0.46223590798026493</v>
      </c>
      <c r="H102" s="62">
        <f t="shared" si="155"/>
        <v>0.77680706210983785</v>
      </c>
      <c r="I102" s="62">
        <f t="shared" si="155"/>
        <v>0.62653397982276537</v>
      </c>
      <c r="J102" s="13">
        <f t="shared" si="155"/>
        <v>-0.82666666666666666</v>
      </c>
      <c r="K102" s="31">
        <f t="shared" ref="K102" si="156">K101+X101</f>
        <v>-0.68785676545273777</v>
      </c>
      <c r="L102" s="67">
        <f t="shared" ref="L102" si="157">E102*K102</f>
        <v>-0.38769788425947843</v>
      </c>
      <c r="M102" s="68">
        <f t="shared" ref="M102" si="158">D102+F102*K102</f>
        <v>0.96301381970149413</v>
      </c>
      <c r="N102" s="67">
        <f t="shared" ref="N102" si="159">(C102-J102+K102/0.997269566)*PI()/12</f>
        <v>6.0981381198653111</v>
      </c>
      <c r="O102" s="67">
        <f t="shared" ref="O102" si="160">I102*COS(N102)</f>
        <v>0.61583752205463504</v>
      </c>
      <c r="P102" s="67">
        <f t="shared" ref="P102" si="161">I102*SIN(N102)</f>
        <v>-0.11527781357295164</v>
      </c>
      <c r="Q102" s="67">
        <f t="shared" ref="Q102" si="162">0.26252*I102*COS(N102)</f>
        <v>0.1616696662897828</v>
      </c>
      <c r="R102" s="67">
        <f t="shared" ref="R102" si="163">H102*COS(G102)-O102*SIN(G102)</f>
        <v>0.96992013166286428</v>
      </c>
      <c r="S102" s="67">
        <f t="shared" ref="S102" si="164">0.26252*P102*SIN(G102)</f>
        <v>1.3495679888846991E-2</v>
      </c>
      <c r="T102" s="67">
        <f t="shared" ref="T102" si="165">L102-P102</f>
        <v>-0.27242007068652679</v>
      </c>
      <c r="U102" s="67">
        <f t="shared" ref="U102" si="166">E102-Q102</f>
        <v>0.4019620427104203</v>
      </c>
      <c r="V102" s="67">
        <f t="shared" ref="V102" si="167">M102-R102</f>
        <v>-6.9063119613701485E-3</v>
      </c>
      <c r="W102" s="67">
        <f t="shared" ref="W102" si="168">F102-S102</f>
        <v>-0.13796655079338455</v>
      </c>
      <c r="X102" s="69">
        <f t="shared" ref="X102" si="169">(0.2725076*0.2725076-T102*T102-V102*V102)/(2*(T102*U102+V102*W102))</f>
        <v>5.802445966469391E-17</v>
      </c>
      <c r="Y102" s="13">
        <f>MOD(R80-H7/3600+K102+X102+E7,24)</f>
        <v>14.195903730692816</v>
      </c>
      <c r="Z102" s="46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2"/>
      <c r="BN102" s="2"/>
      <c r="BO102" s="2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</row>
    <row r="103" spans="2:109" ht="17.25" hidden="1">
      <c r="B103" s="46" t="s">
        <v>257</v>
      </c>
      <c r="C103" s="3" t="s">
        <v>164</v>
      </c>
      <c r="D103" s="3" t="s">
        <v>73</v>
      </c>
      <c r="E103" s="3" t="s">
        <v>165</v>
      </c>
      <c r="F103" s="3" t="s">
        <v>166</v>
      </c>
      <c r="G103" s="3" t="s">
        <v>167</v>
      </c>
      <c r="H103" s="3" t="s">
        <v>168</v>
      </c>
      <c r="I103" s="3" t="s">
        <v>169</v>
      </c>
      <c r="J103" s="3" t="s">
        <v>170</v>
      </c>
      <c r="K103" s="31" t="s">
        <v>85</v>
      </c>
      <c r="L103" s="3" t="s">
        <v>171</v>
      </c>
      <c r="M103" s="3" t="s">
        <v>68</v>
      </c>
      <c r="N103" s="3" t="s">
        <v>172</v>
      </c>
      <c r="O103" s="66" t="s">
        <v>173</v>
      </c>
      <c r="P103" s="3" t="s">
        <v>174</v>
      </c>
      <c r="Q103" s="3" t="s">
        <v>175</v>
      </c>
      <c r="R103" s="3" t="s">
        <v>176</v>
      </c>
      <c r="S103" s="3" t="s">
        <v>177</v>
      </c>
      <c r="T103" s="66" t="s">
        <v>178</v>
      </c>
      <c r="U103" s="66" t="s">
        <v>179</v>
      </c>
      <c r="V103" s="66" t="s">
        <v>180</v>
      </c>
      <c r="W103" s="66" t="s">
        <v>181</v>
      </c>
      <c r="X103" s="69" t="s">
        <v>182</v>
      </c>
      <c r="Y103" s="58"/>
      <c r="Z103" s="3"/>
      <c r="AA103" s="63"/>
      <c r="AB103" s="69"/>
      <c r="AC103" s="31"/>
      <c r="AD103" s="52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2"/>
      <c r="BN103" s="2"/>
      <c r="BO103" s="2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</row>
    <row r="104" spans="2:109" ht="17.25" hidden="1">
      <c r="B104" s="4">
        <v>1</v>
      </c>
      <c r="C104" s="13">
        <f>C102</f>
        <v>23.156245198892165</v>
      </c>
      <c r="D104" s="13">
        <f t="shared" ref="D104:J104" si="170">D102</f>
        <v>0.87739568904801357</v>
      </c>
      <c r="E104" s="13">
        <f t="shared" si="170"/>
        <v>0.5636317090002031</v>
      </c>
      <c r="F104" s="13">
        <f t="shared" si="170"/>
        <v>-0.12447087090453757</v>
      </c>
      <c r="G104" s="13">
        <f t="shared" si="170"/>
        <v>-0.46223590798026493</v>
      </c>
      <c r="H104" s="13">
        <f t="shared" si="170"/>
        <v>0.77680706210983785</v>
      </c>
      <c r="I104" s="13">
        <f t="shared" si="170"/>
        <v>0.62653397982276537</v>
      </c>
      <c r="J104" s="13">
        <f t="shared" si="170"/>
        <v>-0.82666666666666666</v>
      </c>
      <c r="K104" s="31">
        <v>1</v>
      </c>
      <c r="L104" s="67">
        <f>E104*K104</f>
        <v>0.5636317090002031</v>
      </c>
      <c r="M104" s="68">
        <f t="shared" ref="M104:M122" si="171">D104+F104*K104</f>
        <v>0.752924818143476</v>
      </c>
      <c r="N104" s="67">
        <f t="shared" ref="N104:N122" si="172">(C104-J104+K104/0.997269566)*PI()/12</f>
        <v>6.5412278149219238</v>
      </c>
      <c r="O104" s="67">
        <f>I104*COS(N104)</f>
        <v>0.60579029152924047</v>
      </c>
      <c r="P104" s="67">
        <f>I104*SIN(N104)</f>
        <v>0.15988417858397119</v>
      </c>
      <c r="Q104" s="67">
        <f>0.26252*I104*COS(N104)</f>
        <v>0.15903206733225622</v>
      </c>
      <c r="R104" s="67">
        <f>H104*COS(G104)-O104*SIN(G104)</f>
        <v>0.96543956432193467</v>
      </c>
      <c r="S104" s="67">
        <f>0.26252*P104*SIN(G104)</f>
        <v>-1.8717788155263957E-2</v>
      </c>
      <c r="T104" s="67">
        <f>L104-P104</f>
        <v>0.4037475304162319</v>
      </c>
      <c r="U104" s="67">
        <f>E104-Q104</f>
        <v>0.40459964166794687</v>
      </c>
      <c r="V104" s="67">
        <f>M104-R104</f>
        <v>-0.21251474617845867</v>
      </c>
      <c r="W104" s="67">
        <f>F104-S104</f>
        <v>-0.10575308274927361</v>
      </c>
      <c r="X104" s="69">
        <f>(0.2725076*0.2725076-T104*T104-V104*V104)/(2*(T104*U104+V104*W104))</f>
        <v>-0.36031333099769403</v>
      </c>
      <c r="Y104" s="67"/>
      <c r="Z104" s="67"/>
      <c r="AA104" s="67"/>
      <c r="AB104" s="67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2"/>
      <c r="BN104" s="2"/>
      <c r="BO104" s="2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</row>
    <row r="105" spans="2:109" ht="17.25" hidden="1">
      <c r="B105" s="18">
        <f t="shared" ref="B105:B123" si="173">B104+1</f>
        <v>2</v>
      </c>
      <c r="C105" s="13">
        <f t="shared" ref="C105:J120" si="174">C104</f>
        <v>23.156245198892165</v>
      </c>
      <c r="D105" s="13">
        <f t="shared" si="174"/>
        <v>0.87739568904801357</v>
      </c>
      <c r="E105" s="13">
        <f t="shared" si="174"/>
        <v>0.5636317090002031</v>
      </c>
      <c r="F105" s="13">
        <f t="shared" si="174"/>
        <v>-0.12447087090453757</v>
      </c>
      <c r="G105" s="62">
        <f t="shared" si="174"/>
        <v>-0.46223590798026493</v>
      </c>
      <c r="H105" s="62">
        <f t="shared" si="174"/>
        <v>0.77680706210983785</v>
      </c>
      <c r="I105" s="62">
        <f t="shared" si="174"/>
        <v>0.62653397982276537</v>
      </c>
      <c r="J105" s="13">
        <f t="shared" si="174"/>
        <v>-0.82666666666666666</v>
      </c>
      <c r="K105" s="31">
        <f>K104+X104</f>
        <v>0.63968666900230597</v>
      </c>
      <c r="L105" s="67">
        <f t="shared" ref="L105:L122" si="175">E105*K105</f>
        <v>0.36054769047441698</v>
      </c>
      <c r="M105" s="68">
        <f t="shared" si="171"/>
        <v>0.79777333225127389</v>
      </c>
      <c r="N105" s="67">
        <f t="shared" si="172"/>
        <v>6.4466397389522321</v>
      </c>
      <c r="O105" s="67">
        <f t="shared" ref="O105:O122" si="176">I105*COS(N105)</f>
        <v>0.61818293363045129</v>
      </c>
      <c r="P105" s="67">
        <f t="shared" ref="P105:P122" si="177">I105*SIN(N105)</f>
        <v>0.10195434488339539</v>
      </c>
      <c r="Q105" s="67">
        <f t="shared" ref="Q105:Q122" si="178">0.26252*I105*COS(N105)</f>
        <v>0.16228538373666607</v>
      </c>
      <c r="R105" s="67">
        <f t="shared" ref="R105:R122" si="179">H105*COS(G105)-O105*SIN(G105)</f>
        <v>0.97096606909617789</v>
      </c>
      <c r="S105" s="67">
        <f t="shared" ref="S105:S122" si="180">0.26252*P105*SIN(G105)</f>
        <v>-1.1935889128853634E-2</v>
      </c>
      <c r="T105" s="67">
        <f t="shared" ref="T105:T122" si="181">L105-P105</f>
        <v>0.2585933455910216</v>
      </c>
      <c r="U105" s="67">
        <f t="shared" ref="U105:U122" si="182">E105-Q105</f>
        <v>0.40134632526353703</v>
      </c>
      <c r="V105" s="67">
        <f t="shared" ref="V105:V122" si="183">M105-R105</f>
        <v>-0.17319273684490399</v>
      </c>
      <c r="W105" s="67">
        <f t="shared" ref="W105:W122" si="184">F105-S105</f>
        <v>-0.11253498177568394</v>
      </c>
      <c r="X105" s="69">
        <f t="shared" ref="X105:X122" si="185">(0.2725076*0.2725076-T105*T105-V105*V105)/(2*(T105*U105+V105*W105))</f>
        <v>-9.1688162523583486E-2</v>
      </c>
      <c r="Y105" s="67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2"/>
      <c r="BN105" s="2"/>
      <c r="BO105" s="2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</row>
    <row r="106" spans="2:109" ht="17.25" hidden="1">
      <c r="B106" s="18">
        <f t="shared" si="173"/>
        <v>3</v>
      </c>
      <c r="C106" s="13">
        <f t="shared" si="174"/>
        <v>23.156245198892165</v>
      </c>
      <c r="D106" s="13">
        <f t="shared" si="174"/>
        <v>0.87739568904801357</v>
      </c>
      <c r="E106" s="13">
        <f t="shared" si="174"/>
        <v>0.5636317090002031</v>
      </c>
      <c r="F106" s="13">
        <f t="shared" si="174"/>
        <v>-0.12447087090453757</v>
      </c>
      <c r="G106" s="62">
        <f t="shared" si="174"/>
        <v>-0.46223590798026493</v>
      </c>
      <c r="H106" s="62">
        <f t="shared" si="174"/>
        <v>0.77680706210983785</v>
      </c>
      <c r="I106" s="62">
        <f t="shared" si="174"/>
        <v>0.62653397982276537</v>
      </c>
      <c r="J106" s="13">
        <f t="shared" si="174"/>
        <v>-0.82666666666666666</v>
      </c>
      <c r="K106" s="31">
        <f t="shared" ref="K106:K122" si="186">K105+X105</f>
        <v>0.5479985064787225</v>
      </c>
      <c r="L106" s="67">
        <f t="shared" si="175"/>
        <v>0.30886933473616124</v>
      </c>
      <c r="M106" s="68">
        <f t="shared" si="171"/>
        <v>0.80918583769222108</v>
      </c>
      <c r="N106" s="67">
        <f t="shared" si="172"/>
        <v>6.422570113611731</v>
      </c>
      <c r="O106" s="67">
        <f t="shared" si="176"/>
        <v>0.62045763704054369</v>
      </c>
      <c r="P106" s="67">
        <f t="shared" si="177"/>
        <v>8.7046817923565306E-2</v>
      </c>
      <c r="Q106" s="67">
        <f t="shared" si="178"/>
        <v>0.16288253887588353</v>
      </c>
      <c r="R106" s="67">
        <f t="shared" si="179"/>
        <v>0.97198047418858624</v>
      </c>
      <c r="S106" s="67">
        <f t="shared" si="180"/>
        <v>-1.0190651207101196E-2</v>
      </c>
      <c r="T106" s="67">
        <f t="shared" si="181"/>
        <v>0.22182251681259593</v>
      </c>
      <c r="U106" s="67">
        <f t="shared" si="182"/>
        <v>0.40074917012431954</v>
      </c>
      <c r="V106" s="67">
        <f t="shared" si="183"/>
        <v>-0.16279463649636516</v>
      </c>
      <c r="W106" s="67">
        <f t="shared" si="184"/>
        <v>-0.11428021969743637</v>
      </c>
      <c r="X106" s="69">
        <f t="shared" si="185"/>
        <v>-6.7299474620371846E-3</v>
      </c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2"/>
      <c r="BN106" s="2"/>
      <c r="BO106" s="2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</row>
    <row r="107" spans="2:109" ht="17.25" hidden="1">
      <c r="B107" s="18">
        <f t="shared" si="173"/>
        <v>4</v>
      </c>
      <c r="C107" s="13">
        <f t="shared" si="174"/>
        <v>23.156245198892165</v>
      </c>
      <c r="D107" s="13">
        <f t="shared" si="174"/>
        <v>0.87739568904801357</v>
      </c>
      <c r="E107" s="13">
        <f t="shared" si="174"/>
        <v>0.5636317090002031</v>
      </c>
      <c r="F107" s="13">
        <f t="shared" si="174"/>
        <v>-0.12447087090453757</v>
      </c>
      <c r="G107" s="62">
        <f t="shared" si="174"/>
        <v>-0.46223590798026493</v>
      </c>
      <c r="H107" s="62">
        <f t="shared" si="174"/>
        <v>0.77680706210983785</v>
      </c>
      <c r="I107" s="62">
        <f t="shared" si="174"/>
        <v>0.62653397982276537</v>
      </c>
      <c r="J107" s="13">
        <f t="shared" si="174"/>
        <v>-0.82666666666666666</v>
      </c>
      <c r="K107" s="31">
        <f t="shared" si="186"/>
        <v>0.54126855901668536</v>
      </c>
      <c r="L107" s="67">
        <f t="shared" si="175"/>
        <v>0.30507612294665165</v>
      </c>
      <c r="M107" s="68">
        <f t="shared" si="171"/>
        <v>0.81002352011396261</v>
      </c>
      <c r="N107" s="67">
        <f t="shared" si="172"/>
        <v>6.4208033935737907</v>
      </c>
      <c r="O107" s="67">
        <f t="shared" si="176"/>
        <v>0.62061045600114151</v>
      </c>
      <c r="P107" s="67">
        <f t="shared" si="177"/>
        <v>8.5950507704193338E-2</v>
      </c>
      <c r="Q107" s="67">
        <f t="shared" si="178"/>
        <v>0.16292265690941965</v>
      </c>
      <c r="R107" s="67">
        <f t="shared" si="179"/>
        <v>0.97204862387841362</v>
      </c>
      <c r="S107" s="67">
        <f t="shared" si="180"/>
        <v>-1.006230515922831E-2</v>
      </c>
      <c r="T107" s="67">
        <f t="shared" si="181"/>
        <v>0.21912561524245833</v>
      </c>
      <c r="U107" s="67">
        <f t="shared" si="182"/>
        <v>0.40070905209078345</v>
      </c>
      <c r="V107" s="67">
        <f t="shared" si="183"/>
        <v>-0.16202510376445101</v>
      </c>
      <c r="W107" s="67">
        <f t="shared" si="184"/>
        <v>-0.11440856574530926</v>
      </c>
      <c r="X107" s="69">
        <f t="shared" si="185"/>
        <v>-3.6567856404371292E-5</v>
      </c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2"/>
      <c r="BN107" s="2"/>
      <c r="BO107" s="2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</row>
    <row r="108" spans="2:109" ht="17.25" hidden="1">
      <c r="B108" s="18">
        <f t="shared" si="173"/>
        <v>5</v>
      </c>
      <c r="C108" s="13">
        <f t="shared" si="174"/>
        <v>23.156245198892165</v>
      </c>
      <c r="D108" s="13">
        <f t="shared" si="174"/>
        <v>0.87739568904801357</v>
      </c>
      <c r="E108" s="13">
        <f t="shared" si="174"/>
        <v>0.5636317090002031</v>
      </c>
      <c r="F108" s="13">
        <f t="shared" si="174"/>
        <v>-0.12447087090453757</v>
      </c>
      <c r="G108" s="62">
        <f t="shared" si="174"/>
        <v>-0.46223590798026493</v>
      </c>
      <c r="H108" s="62">
        <f t="shared" si="174"/>
        <v>0.77680706210983785</v>
      </c>
      <c r="I108" s="62">
        <f t="shared" si="174"/>
        <v>0.62653397982276537</v>
      </c>
      <c r="J108" s="13">
        <f t="shared" si="174"/>
        <v>-0.82666666666666666</v>
      </c>
      <c r="K108" s="31">
        <f t="shared" si="186"/>
        <v>0.54123199116028098</v>
      </c>
      <c r="L108" s="67">
        <f t="shared" si="175"/>
        <v>0.30505551214325199</v>
      </c>
      <c r="M108" s="68">
        <f t="shared" si="171"/>
        <v>0.81002807174689639</v>
      </c>
      <c r="N108" s="67">
        <f t="shared" si="172"/>
        <v>6.4207937939201498</v>
      </c>
      <c r="O108" s="67">
        <f t="shared" si="176"/>
        <v>0.62061128106765007</v>
      </c>
      <c r="P108" s="67">
        <f t="shared" si="177"/>
        <v>8.5944550054809582E-2</v>
      </c>
      <c r="Q108" s="67">
        <f t="shared" si="178"/>
        <v>0.16292287350587947</v>
      </c>
      <c r="R108" s="67">
        <f t="shared" si="179"/>
        <v>0.97204899181722448</v>
      </c>
      <c r="S108" s="67">
        <f t="shared" si="180"/>
        <v>-1.0061607691723668E-2</v>
      </c>
      <c r="T108" s="67">
        <f t="shared" si="181"/>
        <v>0.21911096208844241</v>
      </c>
      <c r="U108" s="67">
        <f t="shared" si="182"/>
        <v>0.40070883549432362</v>
      </c>
      <c r="V108" s="67">
        <f t="shared" si="183"/>
        <v>-0.16202092007032809</v>
      </c>
      <c r="W108" s="67">
        <f t="shared" si="184"/>
        <v>-0.1144092632128139</v>
      </c>
      <c r="X108" s="69">
        <f t="shared" si="185"/>
        <v>-8.9338405566027742E-10</v>
      </c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2"/>
      <c r="BN108" s="2"/>
      <c r="BO108" s="2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</row>
    <row r="109" spans="2:109" ht="9.75" hidden="1" customHeight="1">
      <c r="B109" s="18">
        <f t="shared" si="173"/>
        <v>6</v>
      </c>
      <c r="C109" s="13">
        <f t="shared" si="174"/>
        <v>23.156245198892165</v>
      </c>
      <c r="D109" s="13">
        <f t="shared" si="174"/>
        <v>0.87739568904801357</v>
      </c>
      <c r="E109" s="13">
        <f t="shared" si="174"/>
        <v>0.5636317090002031</v>
      </c>
      <c r="F109" s="13">
        <f t="shared" si="174"/>
        <v>-0.12447087090453757</v>
      </c>
      <c r="G109" s="62">
        <f t="shared" si="174"/>
        <v>-0.46223590798026493</v>
      </c>
      <c r="H109" s="62">
        <f t="shared" si="174"/>
        <v>0.77680706210983785</v>
      </c>
      <c r="I109" s="62">
        <f t="shared" si="174"/>
        <v>0.62653397982276537</v>
      </c>
      <c r="J109" s="13">
        <f t="shared" si="174"/>
        <v>-0.82666666666666666</v>
      </c>
      <c r="K109" s="31">
        <f t="shared" si="186"/>
        <v>0.54123199026689695</v>
      </c>
      <c r="L109" s="67">
        <f t="shared" si="175"/>
        <v>0.3050555116397124</v>
      </c>
      <c r="M109" s="68">
        <f t="shared" si="171"/>
        <v>0.81002807185809667</v>
      </c>
      <c r="N109" s="67">
        <f t="shared" si="172"/>
        <v>6.4207937936856219</v>
      </c>
      <c r="O109" s="67">
        <f t="shared" si="176"/>
        <v>0.62061128108780639</v>
      </c>
      <c r="P109" s="67">
        <f t="shared" si="177"/>
        <v>8.5944549909258885E-2</v>
      </c>
      <c r="Q109" s="67">
        <f t="shared" si="178"/>
        <v>0.16292287351117093</v>
      </c>
      <c r="R109" s="67">
        <f t="shared" si="179"/>
        <v>0.97204899182621318</v>
      </c>
      <c r="S109" s="67">
        <f t="shared" si="180"/>
        <v>-1.0061607674683915E-2</v>
      </c>
      <c r="T109" s="67">
        <f t="shared" si="181"/>
        <v>0.21911096173045352</v>
      </c>
      <c r="U109" s="67">
        <f t="shared" si="182"/>
        <v>0.40070883548903213</v>
      </c>
      <c r="V109" s="67">
        <f t="shared" si="183"/>
        <v>-0.16202091996811652</v>
      </c>
      <c r="W109" s="67">
        <f t="shared" si="184"/>
        <v>-0.11440926322985365</v>
      </c>
      <c r="X109" s="69">
        <f t="shared" si="185"/>
        <v>4.372029942638792E-15</v>
      </c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2"/>
      <c r="BN109" s="2"/>
      <c r="BO109" s="2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</row>
    <row r="110" spans="2:109" ht="15" hidden="1" customHeight="1">
      <c r="B110" s="18">
        <f t="shared" si="173"/>
        <v>7</v>
      </c>
      <c r="C110" s="13">
        <f t="shared" si="174"/>
        <v>23.156245198892165</v>
      </c>
      <c r="D110" s="13">
        <f t="shared" si="174"/>
        <v>0.87739568904801357</v>
      </c>
      <c r="E110" s="13">
        <f t="shared" si="174"/>
        <v>0.5636317090002031</v>
      </c>
      <c r="F110" s="13">
        <f t="shared" si="174"/>
        <v>-0.12447087090453757</v>
      </c>
      <c r="G110" s="62">
        <f t="shared" si="174"/>
        <v>-0.46223590798026493</v>
      </c>
      <c r="H110" s="62">
        <f t="shared" si="174"/>
        <v>0.77680706210983785</v>
      </c>
      <c r="I110" s="62">
        <f t="shared" si="174"/>
        <v>0.62653397982276537</v>
      </c>
      <c r="J110" s="13">
        <f t="shared" si="174"/>
        <v>-0.82666666666666666</v>
      </c>
      <c r="K110" s="31">
        <f t="shared" si="186"/>
        <v>0.54123199026690127</v>
      </c>
      <c r="L110" s="67">
        <f t="shared" si="175"/>
        <v>0.30505551163971484</v>
      </c>
      <c r="M110" s="68">
        <f t="shared" si="171"/>
        <v>0.81002807185809611</v>
      </c>
      <c r="N110" s="67">
        <f t="shared" si="172"/>
        <v>6.4207937936856228</v>
      </c>
      <c r="O110" s="67">
        <f t="shared" si="176"/>
        <v>0.62061128108780639</v>
      </c>
      <c r="P110" s="67">
        <f t="shared" si="177"/>
        <v>8.5944549909259441E-2</v>
      </c>
      <c r="Q110" s="67">
        <f t="shared" si="178"/>
        <v>0.16292287351117091</v>
      </c>
      <c r="R110" s="67">
        <f t="shared" si="179"/>
        <v>0.97204899182621318</v>
      </c>
      <c r="S110" s="67">
        <f t="shared" si="180"/>
        <v>-1.0061607674683979E-2</v>
      </c>
      <c r="T110" s="67">
        <f t="shared" si="181"/>
        <v>0.21911096173045541</v>
      </c>
      <c r="U110" s="67">
        <f t="shared" si="182"/>
        <v>0.40070883548903219</v>
      </c>
      <c r="V110" s="67">
        <f t="shared" si="183"/>
        <v>-0.16202091996811707</v>
      </c>
      <c r="W110" s="67">
        <f t="shared" si="184"/>
        <v>-0.11440926322985359</v>
      </c>
      <c r="X110" s="69">
        <f t="shared" si="185"/>
        <v>-3.9152506949003808E-16</v>
      </c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2"/>
      <c r="BN110" s="2"/>
      <c r="BO110" s="2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</row>
    <row r="111" spans="2:109" ht="17.25" hidden="1">
      <c r="B111" s="18">
        <f t="shared" si="173"/>
        <v>8</v>
      </c>
      <c r="C111" s="13">
        <f t="shared" si="174"/>
        <v>23.156245198892165</v>
      </c>
      <c r="D111" s="13">
        <f t="shared" si="174"/>
        <v>0.87739568904801357</v>
      </c>
      <c r="E111" s="13">
        <f t="shared" si="174"/>
        <v>0.5636317090002031</v>
      </c>
      <c r="F111" s="13">
        <f t="shared" si="174"/>
        <v>-0.12447087090453757</v>
      </c>
      <c r="G111" s="62">
        <f t="shared" si="174"/>
        <v>-0.46223590798026493</v>
      </c>
      <c r="H111" s="62">
        <f t="shared" si="174"/>
        <v>0.77680706210983785</v>
      </c>
      <c r="I111" s="62">
        <f t="shared" si="174"/>
        <v>0.62653397982276537</v>
      </c>
      <c r="J111" s="13">
        <f t="shared" si="174"/>
        <v>-0.82666666666666666</v>
      </c>
      <c r="K111" s="31">
        <f t="shared" si="186"/>
        <v>0.54123199026690083</v>
      </c>
      <c r="L111" s="67">
        <f t="shared" si="175"/>
        <v>0.30505551163971462</v>
      </c>
      <c r="M111" s="68">
        <f t="shared" si="171"/>
        <v>0.81002807185809622</v>
      </c>
      <c r="N111" s="67">
        <f t="shared" si="172"/>
        <v>6.4207937936856228</v>
      </c>
      <c r="O111" s="67">
        <f t="shared" si="176"/>
        <v>0.62061128108780639</v>
      </c>
      <c r="P111" s="67">
        <f t="shared" si="177"/>
        <v>8.5944549909259441E-2</v>
      </c>
      <c r="Q111" s="67">
        <f t="shared" si="178"/>
        <v>0.16292287351117091</v>
      </c>
      <c r="R111" s="67">
        <f t="shared" si="179"/>
        <v>0.97204899182621318</v>
      </c>
      <c r="S111" s="67">
        <f t="shared" si="180"/>
        <v>-1.0061607674683979E-2</v>
      </c>
      <c r="T111" s="67">
        <f t="shared" si="181"/>
        <v>0.21911096173045519</v>
      </c>
      <c r="U111" s="67">
        <f t="shared" si="182"/>
        <v>0.40070883548903219</v>
      </c>
      <c r="V111" s="67">
        <f t="shared" si="183"/>
        <v>-0.16202091996811696</v>
      </c>
      <c r="W111" s="67">
        <f t="shared" si="184"/>
        <v>-0.11440926322985359</v>
      </c>
      <c r="X111" s="69">
        <f t="shared" si="185"/>
        <v>2.4470316843127405E-16</v>
      </c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2"/>
      <c r="BN111" s="2"/>
      <c r="BO111" s="2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</row>
    <row r="112" spans="2:109" ht="17.25" hidden="1">
      <c r="B112" s="18">
        <f t="shared" si="173"/>
        <v>9</v>
      </c>
      <c r="C112" s="13">
        <f t="shared" si="174"/>
        <v>23.156245198892165</v>
      </c>
      <c r="D112" s="13">
        <f t="shared" si="174"/>
        <v>0.87739568904801357</v>
      </c>
      <c r="E112" s="13">
        <f t="shared" si="174"/>
        <v>0.5636317090002031</v>
      </c>
      <c r="F112" s="13">
        <f t="shared" si="174"/>
        <v>-0.12447087090453757</v>
      </c>
      <c r="G112" s="62">
        <f t="shared" si="174"/>
        <v>-0.46223590798026493</v>
      </c>
      <c r="H112" s="62">
        <f t="shared" si="174"/>
        <v>0.77680706210983785</v>
      </c>
      <c r="I112" s="62">
        <f t="shared" si="174"/>
        <v>0.62653397982276537</v>
      </c>
      <c r="J112" s="13">
        <f t="shared" si="174"/>
        <v>-0.82666666666666666</v>
      </c>
      <c r="K112" s="31">
        <f t="shared" si="186"/>
        <v>0.54123199026690105</v>
      </c>
      <c r="L112" s="67">
        <f t="shared" si="175"/>
        <v>0.30505551163971473</v>
      </c>
      <c r="M112" s="68">
        <f t="shared" si="171"/>
        <v>0.81002807185809622</v>
      </c>
      <c r="N112" s="67">
        <f t="shared" si="172"/>
        <v>6.4207937936856228</v>
      </c>
      <c r="O112" s="67">
        <f t="shared" si="176"/>
        <v>0.62061128108780639</v>
      </c>
      <c r="P112" s="67">
        <f t="shared" si="177"/>
        <v>8.5944549909259441E-2</v>
      </c>
      <c r="Q112" s="67">
        <f t="shared" si="178"/>
        <v>0.16292287351117091</v>
      </c>
      <c r="R112" s="67">
        <f t="shared" si="179"/>
        <v>0.97204899182621318</v>
      </c>
      <c r="S112" s="67">
        <f t="shared" si="180"/>
        <v>-1.0061607674683979E-2</v>
      </c>
      <c r="T112" s="67">
        <f t="shared" si="181"/>
        <v>0.2191109617304553</v>
      </c>
      <c r="U112" s="67">
        <f t="shared" si="182"/>
        <v>0.40070883548903219</v>
      </c>
      <c r="V112" s="67">
        <f t="shared" si="183"/>
        <v>-0.16202091996811696</v>
      </c>
      <c r="W112" s="67">
        <f t="shared" si="184"/>
        <v>-0.11440926322985359</v>
      </c>
      <c r="X112" s="69">
        <f t="shared" si="185"/>
        <v>1.6313544562084927E-17</v>
      </c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2"/>
      <c r="BN112" s="2"/>
      <c r="BO112" s="2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</row>
    <row r="113" spans="1:109" ht="17.25" hidden="1">
      <c r="B113" s="18">
        <f t="shared" si="173"/>
        <v>10</v>
      </c>
      <c r="C113" s="13">
        <f t="shared" si="174"/>
        <v>23.156245198892165</v>
      </c>
      <c r="D113" s="13">
        <f t="shared" si="174"/>
        <v>0.87739568904801357</v>
      </c>
      <c r="E113" s="13">
        <f t="shared" si="174"/>
        <v>0.5636317090002031</v>
      </c>
      <c r="F113" s="13">
        <f t="shared" si="174"/>
        <v>-0.12447087090453757</v>
      </c>
      <c r="G113" s="62">
        <f t="shared" si="174"/>
        <v>-0.46223590798026493</v>
      </c>
      <c r="H113" s="62">
        <f t="shared" si="174"/>
        <v>0.77680706210983785</v>
      </c>
      <c r="I113" s="62">
        <f t="shared" si="174"/>
        <v>0.62653397982276537</v>
      </c>
      <c r="J113" s="13">
        <f t="shared" si="174"/>
        <v>-0.82666666666666666</v>
      </c>
      <c r="K113" s="31">
        <f t="shared" si="186"/>
        <v>0.54123199026690105</v>
      </c>
      <c r="L113" s="67">
        <f t="shared" si="175"/>
        <v>0.30505551163971473</v>
      </c>
      <c r="M113" s="68">
        <f t="shared" si="171"/>
        <v>0.81002807185809622</v>
      </c>
      <c r="N113" s="67">
        <f t="shared" si="172"/>
        <v>6.4207937936856228</v>
      </c>
      <c r="O113" s="67">
        <f t="shared" si="176"/>
        <v>0.62061128108780639</v>
      </c>
      <c r="P113" s="67">
        <f t="shared" si="177"/>
        <v>8.5944549909259441E-2</v>
      </c>
      <c r="Q113" s="67">
        <f t="shared" si="178"/>
        <v>0.16292287351117091</v>
      </c>
      <c r="R113" s="67">
        <f t="shared" si="179"/>
        <v>0.97204899182621318</v>
      </c>
      <c r="S113" s="67">
        <f t="shared" si="180"/>
        <v>-1.0061607674683979E-2</v>
      </c>
      <c r="T113" s="67">
        <f t="shared" si="181"/>
        <v>0.2191109617304553</v>
      </c>
      <c r="U113" s="67">
        <f t="shared" si="182"/>
        <v>0.40070883548903219</v>
      </c>
      <c r="V113" s="67">
        <f t="shared" si="183"/>
        <v>-0.16202091996811696</v>
      </c>
      <c r="W113" s="67">
        <f t="shared" si="184"/>
        <v>-0.11440926322985359</v>
      </c>
      <c r="X113" s="69">
        <f t="shared" si="185"/>
        <v>1.6313544562084927E-17</v>
      </c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2"/>
      <c r="BN113" s="2"/>
      <c r="BO113" s="2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</row>
    <row r="114" spans="1:109" ht="17.25" hidden="1">
      <c r="B114" s="18">
        <f t="shared" si="173"/>
        <v>11</v>
      </c>
      <c r="C114" s="13">
        <f t="shared" si="174"/>
        <v>23.156245198892165</v>
      </c>
      <c r="D114" s="13">
        <f t="shared" si="174"/>
        <v>0.87739568904801357</v>
      </c>
      <c r="E114" s="13">
        <f t="shared" si="174"/>
        <v>0.5636317090002031</v>
      </c>
      <c r="F114" s="13">
        <f t="shared" si="174"/>
        <v>-0.12447087090453757</v>
      </c>
      <c r="G114" s="62">
        <f t="shared" si="174"/>
        <v>-0.46223590798026493</v>
      </c>
      <c r="H114" s="62">
        <f t="shared" si="174"/>
        <v>0.77680706210983785</v>
      </c>
      <c r="I114" s="62">
        <f t="shared" si="174"/>
        <v>0.62653397982276537</v>
      </c>
      <c r="J114" s="13">
        <f t="shared" si="174"/>
        <v>-0.82666666666666666</v>
      </c>
      <c r="K114" s="31">
        <f t="shared" si="186"/>
        <v>0.54123199026690105</v>
      </c>
      <c r="L114" s="67">
        <f t="shared" si="175"/>
        <v>0.30505551163971473</v>
      </c>
      <c r="M114" s="68">
        <f t="shared" si="171"/>
        <v>0.81002807185809622</v>
      </c>
      <c r="N114" s="67">
        <f t="shared" si="172"/>
        <v>6.4207937936856228</v>
      </c>
      <c r="O114" s="67">
        <f t="shared" si="176"/>
        <v>0.62061128108780639</v>
      </c>
      <c r="P114" s="67">
        <f t="shared" si="177"/>
        <v>8.5944549909259441E-2</v>
      </c>
      <c r="Q114" s="67">
        <f t="shared" si="178"/>
        <v>0.16292287351117091</v>
      </c>
      <c r="R114" s="67">
        <f t="shared" si="179"/>
        <v>0.97204899182621318</v>
      </c>
      <c r="S114" s="67">
        <f t="shared" si="180"/>
        <v>-1.0061607674683979E-2</v>
      </c>
      <c r="T114" s="67">
        <f t="shared" si="181"/>
        <v>0.2191109617304553</v>
      </c>
      <c r="U114" s="67">
        <f t="shared" si="182"/>
        <v>0.40070883548903219</v>
      </c>
      <c r="V114" s="67">
        <f t="shared" si="183"/>
        <v>-0.16202091996811696</v>
      </c>
      <c r="W114" s="67">
        <f t="shared" si="184"/>
        <v>-0.11440926322985359</v>
      </c>
      <c r="X114" s="69">
        <f t="shared" si="185"/>
        <v>1.6313544562084927E-17</v>
      </c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2"/>
      <c r="BN114" s="2"/>
      <c r="BO114" s="2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</row>
    <row r="115" spans="1:109" ht="17.25" hidden="1">
      <c r="B115" s="18">
        <f t="shared" si="173"/>
        <v>12</v>
      </c>
      <c r="C115" s="13">
        <f t="shared" si="174"/>
        <v>23.156245198892165</v>
      </c>
      <c r="D115" s="13">
        <f t="shared" si="174"/>
        <v>0.87739568904801357</v>
      </c>
      <c r="E115" s="13">
        <f t="shared" si="174"/>
        <v>0.5636317090002031</v>
      </c>
      <c r="F115" s="13">
        <f t="shared" si="174"/>
        <v>-0.12447087090453757</v>
      </c>
      <c r="G115" s="62">
        <f t="shared" si="174"/>
        <v>-0.46223590798026493</v>
      </c>
      <c r="H115" s="62">
        <f t="shared" si="174"/>
        <v>0.77680706210983785</v>
      </c>
      <c r="I115" s="62">
        <f t="shared" si="174"/>
        <v>0.62653397982276537</v>
      </c>
      <c r="J115" s="13">
        <f t="shared" si="174"/>
        <v>-0.82666666666666666</v>
      </c>
      <c r="K115" s="31">
        <f t="shared" si="186"/>
        <v>0.54123199026690105</v>
      </c>
      <c r="L115" s="67">
        <f t="shared" si="175"/>
        <v>0.30505551163971473</v>
      </c>
      <c r="M115" s="68">
        <f t="shared" si="171"/>
        <v>0.81002807185809622</v>
      </c>
      <c r="N115" s="67">
        <f t="shared" si="172"/>
        <v>6.4207937936856228</v>
      </c>
      <c r="O115" s="67">
        <f t="shared" si="176"/>
        <v>0.62061128108780639</v>
      </c>
      <c r="P115" s="67">
        <f t="shared" si="177"/>
        <v>8.5944549909259441E-2</v>
      </c>
      <c r="Q115" s="67">
        <f t="shared" si="178"/>
        <v>0.16292287351117091</v>
      </c>
      <c r="R115" s="67">
        <f t="shared" si="179"/>
        <v>0.97204899182621318</v>
      </c>
      <c r="S115" s="67">
        <f t="shared" si="180"/>
        <v>-1.0061607674683979E-2</v>
      </c>
      <c r="T115" s="67">
        <f t="shared" si="181"/>
        <v>0.2191109617304553</v>
      </c>
      <c r="U115" s="67">
        <f t="shared" si="182"/>
        <v>0.40070883548903219</v>
      </c>
      <c r="V115" s="67">
        <f t="shared" si="183"/>
        <v>-0.16202091996811696</v>
      </c>
      <c r="W115" s="67">
        <f t="shared" si="184"/>
        <v>-0.11440926322985359</v>
      </c>
      <c r="X115" s="69">
        <f t="shared" si="185"/>
        <v>1.6313544562084927E-17</v>
      </c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2"/>
      <c r="BN115" s="2"/>
      <c r="BO115" s="2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</row>
    <row r="116" spans="1:109" ht="17.25" hidden="1">
      <c r="B116" s="18">
        <f t="shared" si="173"/>
        <v>13</v>
      </c>
      <c r="C116" s="13">
        <f t="shared" si="174"/>
        <v>23.156245198892165</v>
      </c>
      <c r="D116" s="13">
        <f t="shared" si="174"/>
        <v>0.87739568904801357</v>
      </c>
      <c r="E116" s="13">
        <f t="shared" si="174"/>
        <v>0.5636317090002031</v>
      </c>
      <c r="F116" s="13">
        <f t="shared" si="174"/>
        <v>-0.12447087090453757</v>
      </c>
      <c r="G116" s="62">
        <f t="shared" si="174"/>
        <v>-0.46223590798026493</v>
      </c>
      <c r="H116" s="62">
        <f t="shared" si="174"/>
        <v>0.77680706210983785</v>
      </c>
      <c r="I116" s="62">
        <f t="shared" si="174"/>
        <v>0.62653397982276537</v>
      </c>
      <c r="J116" s="13">
        <f t="shared" si="174"/>
        <v>-0.82666666666666666</v>
      </c>
      <c r="K116" s="31">
        <f t="shared" si="186"/>
        <v>0.54123199026690105</v>
      </c>
      <c r="L116" s="67">
        <f t="shared" si="175"/>
        <v>0.30505551163971473</v>
      </c>
      <c r="M116" s="68">
        <f t="shared" si="171"/>
        <v>0.81002807185809622</v>
      </c>
      <c r="N116" s="67">
        <f t="shared" si="172"/>
        <v>6.4207937936856228</v>
      </c>
      <c r="O116" s="67">
        <f t="shared" si="176"/>
        <v>0.62061128108780639</v>
      </c>
      <c r="P116" s="67">
        <f t="shared" si="177"/>
        <v>8.5944549909259441E-2</v>
      </c>
      <c r="Q116" s="67">
        <f t="shared" si="178"/>
        <v>0.16292287351117091</v>
      </c>
      <c r="R116" s="67">
        <f t="shared" si="179"/>
        <v>0.97204899182621318</v>
      </c>
      <c r="S116" s="67">
        <f t="shared" si="180"/>
        <v>-1.0061607674683979E-2</v>
      </c>
      <c r="T116" s="67">
        <f t="shared" si="181"/>
        <v>0.2191109617304553</v>
      </c>
      <c r="U116" s="67">
        <f t="shared" si="182"/>
        <v>0.40070883548903219</v>
      </c>
      <c r="V116" s="67">
        <f t="shared" si="183"/>
        <v>-0.16202091996811696</v>
      </c>
      <c r="W116" s="67">
        <f t="shared" si="184"/>
        <v>-0.11440926322985359</v>
      </c>
      <c r="X116" s="69">
        <f t="shared" si="185"/>
        <v>1.6313544562084927E-17</v>
      </c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2"/>
      <c r="BN116" s="2"/>
      <c r="BO116" s="2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</row>
    <row r="117" spans="1:109" ht="17.25" hidden="1">
      <c r="B117" s="18">
        <f t="shared" si="173"/>
        <v>14</v>
      </c>
      <c r="C117" s="13">
        <f t="shared" si="174"/>
        <v>23.156245198892165</v>
      </c>
      <c r="D117" s="13">
        <f t="shared" si="174"/>
        <v>0.87739568904801357</v>
      </c>
      <c r="E117" s="13">
        <f t="shared" si="174"/>
        <v>0.5636317090002031</v>
      </c>
      <c r="F117" s="13">
        <f t="shared" si="174"/>
        <v>-0.12447087090453757</v>
      </c>
      <c r="G117" s="62">
        <f t="shared" si="174"/>
        <v>-0.46223590798026493</v>
      </c>
      <c r="H117" s="62">
        <f t="shared" si="174"/>
        <v>0.77680706210983785</v>
      </c>
      <c r="I117" s="62">
        <f t="shared" si="174"/>
        <v>0.62653397982276537</v>
      </c>
      <c r="J117" s="13">
        <f t="shared" si="174"/>
        <v>-0.82666666666666666</v>
      </c>
      <c r="K117" s="31">
        <f t="shared" si="186"/>
        <v>0.54123199026690105</v>
      </c>
      <c r="L117" s="67">
        <f t="shared" si="175"/>
        <v>0.30505551163971473</v>
      </c>
      <c r="M117" s="68">
        <f t="shared" si="171"/>
        <v>0.81002807185809622</v>
      </c>
      <c r="N117" s="67">
        <f t="shared" si="172"/>
        <v>6.4207937936856228</v>
      </c>
      <c r="O117" s="67">
        <f t="shared" si="176"/>
        <v>0.62061128108780639</v>
      </c>
      <c r="P117" s="67">
        <f t="shared" si="177"/>
        <v>8.5944549909259441E-2</v>
      </c>
      <c r="Q117" s="67">
        <f t="shared" si="178"/>
        <v>0.16292287351117091</v>
      </c>
      <c r="R117" s="67">
        <f t="shared" si="179"/>
        <v>0.97204899182621318</v>
      </c>
      <c r="S117" s="67">
        <f t="shared" si="180"/>
        <v>-1.0061607674683979E-2</v>
      </c>
      <c r="T117" s="67">
        <f t="shared" si="181"/>
        <v>0.2191109617304553</v>
      </c>
      <c r="U117" s="67">
        <f t="shared" si="182"/>
        <v>0.40070883548903219</v>
      </c>
      <c r="V117" s="67">
        <f t="shared" si="183"/>
        <v>-0.16202091996811696</v>
      </c>
      <c r="W117" s="67">
        <f t="shared" si="184"/>
        <v>-0.11440926322985359</v>
      </c>
      <c r="X117" s="69">
        <f t="shared" si="185"/>
        <v>1.6313544562084927E-17</v>
      </c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2"/>
      <c r="BN117" s="2"/>
      <c r="BO117" s="2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</row>
    <row r="118" spans="1:109" ht="17.25" hidden="1">
      <c r="B118" s="18">
        <f t="shared" si="173"/>
        <v>15</v>
      </c>
      <c r="C118" s="13">
        <f t="shared" si="174"/>
        <v>23.156245198892165</v>
      </c>
      <c r="D118" s="13">
        <f t="shared" si="174"/>
        <v>0.87739568904801357</v>
      </c>
      <c r="E118" s="13">
        <f t="shared" si="174"/>
        <v>0.5636317090002031</v>
      </c>
      <c r="F118" s="13">
        <f t="shared" si="174"/>
        <v>-0.12447087090453757</v>
      </c>
      <c r="G118" s="62">
        <f t="shared" si="174"/>
        <v>-0.46223590798026493</v>
      </c>
      <c r="H118" s="62">
        <f t="shared" si="174"/>
        <v>0.77680706210983785</v>
      </c>
      <c r="I118" s="62">
        <f t="shared" si="174"/>
        <v>0.62653397982276537</v>
      </c>
      <c r="J118" s="13">
        <f t="shared" si="174"/>
        <v>-0.82666666666666666</v>
      </c>
      <c r="K118" s="31">
        <f t="shared" si="186"/>
        <v>0.54123199026690105</v>
      </c>
      <c r="L118" s="67">
        <f t="shared" si="175"/>
        <v>0.30505551163971473</v>
      </c>
      <c r="M118" s="68">
        <f t="shared" si="171"/>
        <v>0.81002807185809622</v>
      </c>
      <c r="N118" s="67">
        <f t="shared" si="172"/>
        <v>6.4207937936856228</v>
      </c>
      <c r="O118" s="67">
        <f t="shared" si="176"/>
        <v>0.62061128108780639</v>
      </c>
      <c r="P118" s="67">
        <f t="shared" si="177"/>
        <v>8.5944549909259441E-2</v>
      </c>
      <c r="Q118" s="67">
        <f t="shared" si="178"/>
        <v>0.16292287351117091</v>
      </c>
      <c r="R118" s="67">
        <f t="shared" si="179"/>
        <v>0.97204899182621318</v>
      </c>
      <c r="S118" s="67">
        <f t="shared" si="180"/>
        <v>-1.0061607674683979E-2</v>
      </c>
      <c r="T118" s="67">
        <f t="shared" si="181"/>
        <v>0.2191109617304553</v>
      </c>
      <c r="U118" s="67">
        <f t="shared" si="182"/>
        <v>0.40070883548903219</v>
      </c>
      <c r="V118" s="67">
        <f t="shared" si="183"/>
        <v>-0.16202091996811696</v>
      </c>
      <c r="W118" s="67">
        <f t="shared" si="184"/>
        <v>-0.11440926322985359</v>
      </c>
      <c r="X118" s="69">
        <f t="shared" si="185"/>
        <v>1.6313544562084927E-17</v>
      </c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2"/>
      <c r="BN118" s="2"/>
      <c r="BO118" s="2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</row>
    <row r="119" spans="1:109" ht="17.25" hidden="1">
      <c r="B119" s="18">
        <f t="shared" si="173"/>
        <v>16</v>
      </c>
      <c r="C119" s="13">
        <f t="shared" si="174"/>
        <v>23.156245198892165</v>
      </c>
      <c r="D119" s="13">
        <f t="shared" si="174"/>
        <v>0.87739568904801357</v>
      </c>
      <c r="E119" s="13">
        <f t="shared" si="174"/>
        <v>0.5636317090002031</v>
      </c>
      <c r="F119" s="13">
        <f t="shared" si="174"/>
        <v>-0.12447087090453757</v>
      </c>
      <c r="G119" s="62">
        <f t="shared" si="174"/>
        <v>-0.46223590798026493</v>
      </c>
      <c r="H119" s="62">
        <f t="shared" si="174"/>
        <v>0.77680706210983785</v>
      </c>
      <c r="I119" s="62">
        <f t="shared" si="174"/>
        <v>0.62653397982276537</v>
      </c>
      <c r="J119" s="13">
        <f t="shared" si="174"/>
        <v>-0.82666666666666666</v>
      </c>
      <c r="K119" s="31">
        <f t="shared" si="186"/>
        <v>0.54123199026690105</v>
      </c>
      <c r="L119" s="67">
        <f t="shared" si="175"/>
        <v>0.30505551163971473</v>
      </c>
      <c r="M119" s="68">
        <f t="shared" si="171"/>
        <v>0.81002807185809622</v>
      </c>
      <c r="N119" s="67">
        <f t="shared" si="172"/>
        <v>6.4207937936856228</v>
      </c>
      <c r="O119" s="67">
        <f t="shared" si="176"/>
        <v>0.62061128108780639</v>
      </c>
      <c r="P119" s="67">
        <f t="shared" si="177"/>
        <v>8.5944549909259441E-2</v>
      </c>
      <c r="Q119" s="67">
        <f t="shared" si="178"/>
        <v>0.16292287351117091</v>
      </c>
      <c r="R119" s="67">
        <f t="shared" si="179"/>
        <v>0.97204899182621318</v>
      </c>
      <c r="S119" s="67">
        <f t="shared" si="180"/>
        <v>-1.0061607674683979E-2</v>
      </c>
      <c r="T119" s="67">
        <f t="shared" si="181"/>
        <v>0.2191109617304553</v>
      </c>
      <c r="U119" s="67">
        <f t="shared" si="182"/>
        <v>0.40070883548903219</v>
      </c>
      <c r="V119" s="67">
        <f t="shared" si="183"/>
        <v>-0.16202091996811696</v>
      </c>
      <c r="W119" s="67">
        <f t="shared" si="184"/>
        <v>-0.11440926322985359</v>
      </c>
      <c r="X119" s="69">
        <f t="shared" si="185"/>
        <v>1.6313544562084927E-17</v>
      </c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2"/>
      <c r="BN119" s="2"/>
      <c r="BO119" s="2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</row>
    <row r="120" spans="1:109" ht="17.25" hidden="1">
      <c r="B120" s="18">
        <f t="shared" si="173"/>
        <v>17</v>
      </c>
      <c r="C120" s="13">
        <f t="shared" si="174"/>
        <v>23.156245198892165</v>
      </c>
      <c r="D120" s="13">
        <f t="shared" si="174"/>
        <v>0.87739568904801357</v>
      </c>
      <c r="E120" s="13">
        <f t="shared" si="174"/>
        <v>0.5636317090002031</v>
      </c>
      <c r="F120" s="13">
        <f t="shared" si="174"/>
        <v>-0.12447087090453757</v>
      </c>
      <c r="G120" s="62">
        <f t="shared" si="174"/>
        <v>-0.46223590798026493</v>
      </c>
      <c r="H120" s="62">
        <f t="shared" si="174"/>
        <v>0.77680706210983785</v>
      </c>
      <c r="I120" s="62">
        <f t="shared" si="174"/>
        <v>0.62653397982276537</v>
      </c>
      <c r="J120" s="13">
        <f t="shared" si="174"/>
        <v>-0.82666666666666666</v>
      </c>
      <c r="K120" s="31">
        <f t="shared" si="186"/>
        <v>0.54123199026690105</v>
      </c>
      <c r="L120" s="67">
        <f t="shared" si="175"/>
        <v>0.30505551163971473</v>
      </c>
      <c r="M120" s="68">
        <f t="shared" si="171"/>
        <v>0.81002807185809622</v>
      </c>
      <c r="N120" s="67">
        <f t="shared" si="172"/>
        <v>6.4207937936856228</v>
      </c>
      <c r="O120" s="67">
        <f t="shared" si="176"/>
        <v>0.62061128108780639</v>
      </c>
      <c r="P120" s="67">
        <f t="shared" si="177"/>
        <v>8.5944549909259441E-2</v>
      </c>
      <c r="Q120" s="67">
        <f t="shared" si="178"/>
        <v>0.16292287351117091</v>
      </c>
      <c r="R120" s="67">
        <f t="shared" si="179"/>
        <v>0.97204899182621318</v>
      </c>
      <c r="S120" s="67">
        <f t="shared" si="180"/>
        <v>-1.0061607674683979E-2</v>
      </c>
      <c r="T120" s="67">
        <f t="shared" si="181"/>
        <v>0.2191109617304553</v>
      </c>
      <c r="U120" s="67">
        <f t="shared" si="182"/>
        <v>0.40070883548903219</v>
      </c>
      <c r="V120" s="67">
        <f t="shared" si="183"/>
        <v>-0.16202091996811696</v>
      </c>
      <c r="W120" s="67">
        <f t="shared" si="184"/>
        <v>-0.11440926322985359</v>
      </c>
      <c r="X120" s="69">
        <f t="shared" si="185"/>
        <v>1.6313544562084927E-17</v>
      </c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2"/>
      <c r="BN120" s="2"/>
      <c r="BO120" s="2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</row>
    <row r="121" spans="1:109" ht="17.25" hidden="1">
      <c r="B121" s="18">
        <f t="shared" si="173"/>
        <v>18</v>
      </c>
      <c r="C121" s="13">
        <f t="shared" ref="C121:J123" si="187">C120</f>
        <v>23.156245198892165</v>
      </c>
      <c r="D121" s="13">
        <f t="shared" si="187"/>
        <v>0.87739568904801357</v>
      </c>
      <c r="E121" s="13">
        <f t="shared" si="187"/>
        <v>0.5636317090002031</v>
      </c>
      <c r="F121" s="13">
        <f t="shared" si="187"/>
        <v>-0.12447087090453757</v>
      </c>
      <c r="G121" s="62">
        <f t="shared" si="187"/>
        <v>-0.46223590798026493</v>
      </c>
      <c r="H121" s="62">
        <f t="shared" si="187"/>
        <v>0.77680706210983785</v>
      </c>
      <c r="I121" s="62">
        <f t="shared" si="187"/>
        <v>0.62653397982276537</v>
      </c>
      <c r="J121" s="13">
        <f t="shared" si="187"/>
        <v>-0.82666666666666666</v>
      </c>
      <c r="K121" s="31">
        <f t="shared" si="186"/>
        <v>0.54123199026690105</v>
      </c>
      <c r="L121" s="67">
        <f t="shared" si="175"/>
        <v>0.30505551163971473</v>
      </c>
      <c r="M121" s="68">
        <f t="shared" si="171"/>
        <v>0.81002807185809622</v>
      </c>
      <c r="N121" s="67">
        <f t="shared" si="172"/>
        <v>6.4207937936856228</v>
      </c>
      <c r="O121" s="67">
        <f t="shared" si="176"/>
        <v>0.62061128108780639</v>
      </c>
      <c r="P121" s="67">
        <f t="shared" si="177"/>
        <v>8.5944549909259441E-2</v>
      </c>
      <c r="Q121" s="67">
        <f t="shared" si="178"/>
        <v>0.16292287351117091</v>
      </c>
      <c r="R121" s="67">
        <f t="shared" si="179"/>
        <v>0.97204899182621318</v>
      </c>
      <c r="S121" s="67">
        <f t="shared" si="180"/>
        <v>-1.0061607674683979E-2</v>
      </c>
      <c r="T121" s="67">
        <f t="shared" si="181"/>
        <v>0.2191109617304553</v>
      </c>
      <c r="U121" s="67">
        <f t="shared" si="182"/>
        <v>0.40070883548903219</v>
      </c>
      <c r="V121" s="67">
        <f t="shared" si="183"/>
        <v>-0.16202091996811696</v>
      </c>
      <c r="W121" s="67">
        <f t="shared" si="184"/>
        <v>-0.11440926322985359</v>
      </c>
      <c r="X121" s="69">
        <f t="shared" si="185"/>
        <v>1.6313544562084927E-17</v>
      </c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2"/>
      <c r="BN121" s="2"/>
      <c r="BO121" s="2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</row>
    <row r="122" spans="1:109" ht="17.25" hidden="1">
      <c r="B122" s="18">
        <f t="shared" si="173"/>
        <v>19</v>
      </c>
      <c r="C122" s="13">
        <f t="shared" si="187"/>
        <v>23.156245198892165</v>
      </c>
      <c r="D122" s="13">
        <f t="shared" si="187"/>
        <v>0.87739568904801357</v>
      </c>
      <c r="E122" s="13">
        <f t="shared" si="187"/>
        <v>0.5636317090002031</v>
      </c>
      <c r="F122" s="13">
        <f t="shared" si="187"/>
        <v>-0.12447087090453757</v>
      </c>
      <c r="G122" s="62">
        <f t="shared" si="187"/>
        <v>-0.46223590798026493</v>
      </c>
      <c r="H122" s="62">
        <f t="shared" si="187"/>
        <v>0.77680706210983785</v>
      </c>
      <c r="I122" s="62">
        <f t="shared" si="187"/>
        <v>0.62653397982276537</v>
      </c>
      <c r="J122" s="13">
        <f t="shared" si="187"/>
        <v>-0.82666666666666666</v>
      </c>
      <c r="K122" s="31">
        <f t="shared" si="186"/>
        <v>0.54123199026690105</v>
      </c>
      <c r="L122" s="67">
        <f t="shared" si="175"/>
        <v>0.30505551163971473</v>
      </c>
      <c r="M122" s="68">
        <f t="shared" si="171"/>
        <v>0.81002807185809622</v>
      </c>
      <c r="N122" s="67">
        <f t="shared" si="172"/>
        <v>6.4207937936856228</v>
      </c>
      <c r="O122" s="67">
        <f t="shared" si="176"/>
        <v>0.62061128108780639</v>
      </c>
      <c r="P122" s="67">
        <f t="shared" si="177"/>
        <v>8.5944549909259441E-2</v>
      </c>
      <c r="Q122" s="67">
        <f t="shared" si="178"/>
        <v>0.16292287351117091</v>
      </c>
      <c r="R122" s="67">
        <f t="shared" si="179"/>
        <v>0.97204899182621318</v>
      </c>
      <c r="S122" s="67">
        <f t="shared" si="180"/>
        <v>-1.0061607674683979E-2</v>
      </c>
      <c r="T122" s="67">
        <f t="shared" si="181"/>
        <v>0.2191109617304553</v>
      </c>
      <c r="U122" s="67">
        <f t="shared" si="182"/>
        <v>0.40070883548903219</v>
      </c>
      <c r="V122" s="67">
        <f t="shared" si="183"/>
        <v>-0.16202091996811696</v>
      </c>
      <c r="W122" s="67">
        <f t="shared" si="184"/>
        <v>-0.11440926322985359</v>
      </c>
      <c r="X122" s="69">
        <f t="shared" si="185"/>
        <v>1.6313544562084927E-17</v>
      </c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2"/>
      <c r="BN122" s="2"/>
      <c r="BO122" s="2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</row>
    <row r="123" spans="1:109" ht="17.25" hidden="1">
      <c r="B123" s="18">
        <f t="shared" si="173"/>
        <v>20</v>
      </c>
      <c r="C123" s="13">
        <f t="shared" si="187"/>
        <v>23.156245198892165</v>
      </c>
      <c r="D123" s="13">
        <f t="shared" si="187"/>
        <v>0.87739568904801357</v>
      </c>
      <c r="E123" s="13">
        <f t="shared" si="187"/>
        <v>0.5636317090002031</v>
      </c>
      <c r="F123" s="13">
        <f t="shared" si="187"/>
        <v>-0.12447087090453757</v>
      </c>
      <c r="G123" s="62">
        <f t="shared" si="187"/>
        <v>-0.46223590798026493</v>
      </c>
      <c r="H123" s="62">
        <f t="shared" si="187"/>
        <v>0.77680706210983785</v>
      </c>
      <c r="I123" s="62">
        <f t="shared" si="187"/>
        <v>0.62653397982276537</v>
      </c>
      <c r="J123" s="13">
        <f t="shared" si="187"/>
        <v>-0.82666666666666666</v>
      </c>
      <c r="K123" s="31">
        <f t="shared" ref="K123" si="188">K122+X122</f>
        <v>0.54123199026690105</v>
      </c>
      <c r="L123" s="67">
        <f t="shared" ref="L123" si="189">E123*K123</f>
        <v>0.30505551163971473</v>
      </c>
      <c r="M123" s="68">
        <f t="shared" ref="M123" si="190">D123+F123*K123</f>
        <v>0.81002807185809622</v>
      </c>
      <c r="N123" s="67">
        <f t="shared" ref="N123" si="191">(C123-J123+K123/0.997269566)*PI()/12</f>
        <v>6.4207937936856228</v>
      </c>
      <c r="O123" s="67">
        <f t="shared" ref="O123" si="192">I123*COS(N123)</f>
        <v>0.62061128108780639</v>
      </c>
      <c r="P123" s="67">
        <f t="shared" ref="P123" si="193">I123*SIN(N123)</f>
        <v>8.5944549909259441E-2</v>
      </c>
      <c r="Q123" s="67">
        <f t="shared" ref="Q123" si="194">0.26252*I123*COS(N123)</f>
        <v>0.16292287351117091</v>
      </c>
      <c r="R123" s="67">
        <f t="shared" ref="R123" si="195">H123*COS(G123)-O123*SIN(G123)</f>
        <v>0.97204899182621318</v>
      </c>
      <c r="S123" s="67">
        <f t="shared" ref="S123" si="196">0.26252*P123*SIN(G123)</f>
        <v>-1.0061607674683979E-2</v>
      </c>
      <c r="T123" s="67">
        <f t="shared" ref="T123" si="197">L123-P123</f>
        <v>0.2191109617304553</v>
      </c>
      <c r="U123" s="67">
        <f t="shared" ref="U123" si="198">E123-Q123</f>
        <v>0.40070883548903219</v>
      </c>
      <c r="V123" s="67">
        <f t="shared" ref="V123" si="199">M123-R123</f>
        <v>-0.16202091996811696</v>
      </c>
      <c r="W123" s="67">
        <f t="shared" ref="W123" si="200">F123-S123</f>
        <v>-0.11440926322985359</v>
      </c>
      <c r="X123" s="69">
        <f t="shared" ref="X123" si="201">(0.2725076*0.2725076-T123*T123-V123*V123)/(2*(T123*U123+V123*W123))</f>
        <v>1.6313544562084927E-17</v>
      </c>
      <c r="Y123" s="13">
        <f>MOD(R80-H7/3600+K123+X123+E7,24)</f>
        <v>15.424992486412455</v>
      </c>
      <c r="Z123" s="46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2"/>
      <c r="BN123" s="2"/>
      <c r="BO123" s="2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</row>
    <row r="124" spans="1:109" ht="17.25" hidden="1">
      <c r="A124" s="2"/>
      <c r="B124" s="72" t="s">
        <v>193</v>
      </c>
      <c r="C124" s="24"/>
      <c r="D124" s="24"/>
      <c r="E124" s="24"/>
      <c r="F124" s="24"/>
      <c r="G124" s="24"/>
      <c r="H124" s="24"/>
      <c r="I124" s="24"/>
      <c r="J124" s="24"/>
      <c r="K124" s="24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7"/>
      <c r="AE124" s="76"/>
      <c r="AF124" s="76"/>
      <c r="AG124" s="76"/>
      <c r="AH124" s="76"/>
      <c r="AI124" s="76"/>
      <c r="AJ124" s="76"/>
      <c r="AK124" s="76"/>
      <c r="AL124" s="76"/>
      <c r="AM124" s="76"/>
      <c r="AN124" s="76"/>
      <c r="AO124" s="76"/>
      <c r="AP124" s="76"/>
      <c r="AQ124" s="76"/>
      <c r="AR124" s="76"/>
      <c r="AS124" s="78"/>
      <c r="AT124" s="78"/>
      <c r="AU124" s="78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</row>
    <row r="125" spans="1:109" ht="17.25" hidden="1">
      <c r="A125" s="4"/>
      <c r="B125" s="50"/>
      <c r="C125" s="50" t="s">
        <v>18</v>
      </c>
      <c r="D125" s="48"/>
      <c r="E125" s="24"/>
      <c r="F125" s="24"/>
      <c r="G125" s="24"/>
      <c r="H125" s="24"/>
      <c r="I125" s="24"/>
      <c r="J125" s="48"/>
      <c r="K125" s="45"/>
      <c r="L125" s="24"/>
      <c r="M125" s="24"/>
      <c r="N125" s="24"/>
      <c r="O125" s="50"/>
      <c r="P125" s="75"/>
      <c r="Q125" s="50" t="s">
        <v>192</v>
      </c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73"/>
      <c r="AI125" s="73"/>
      <c r="AJ125" s="73"/>
      <c r="AK125" s="73"/>
      <c r="AL125" s="73"/>
      <c r="AM125" s="73"/>
      <c r="AN125" s="73"/>
      <c r="AO125" s="73"/>
      <c r="AP125" s="73"/>
      <c r="AQ125" s="73"/>
      <c r="AR125" s="73"/>
      <c r="AS125" s="73"/>
      <c r="AT125" s="73"/>
      <c r="AU125" s="73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</row>
    <row r="126" spans="1:109" ht="17.25" hidden="1">
      <c r="A126" s="4"/>
      <c r="B126" s="24" t="s">
        <v>98</v>
      </c>
      <c r="C126" s="34" t="s">
        <v>99</v>
      </c>
      <c r="D126" s="34" t="s">
        <v>210</v>
      </c>
      <c r="E126" s="34" t="s">
        <v>101</v>
      </c>
      <c r="F126" s="34" t="s">
        <v>102</v>
      </c>
      <c r="G126" s="34" t="s">
        <v>211</v>
      </c>
      <c r="H126" s="48" t="s">
        <v>212</v>
      </c>
      <c r="I126" s="48" t="s">
        <v>105</v>
      </c>
      <c r="J126" s="42" t="s">
        <v>213</v>
      </c>
      <c r="K126" s="48" t="s">
        <v>107</v>
      </c>
      <c r="L126" s="48" t="s">
        <v>214</v>
      </c>
      <c r="M126" s="48" t="s">
        <v>109</v>
      </c>
      <c r="N126" s="3" t="s">
        <v>185</v>
      </c>
      <c r="O126" s="96" t="s">
        <v>215</v>
      </c>
      <c r="P126" s="96" t="s">
        <v>216</v>
      </c>
      <c r="Q126" s="30" t="s">
        <v>102</v>
      </c>
      <c r="R126" s="30" t="s">
        <v>217</v>
      </c>
      <c r="S126" s="30" t="s">
        <v>218</v>
      </c>
      <c r="T126" s="30" t="s">
        <v>101</v>
      </c>
      <c r="U126" s="30" t="s">
        <v>80</v>
      </c>
      <c r="V126" s="30" t="s">
        <v>219</v>
      </c>
      <c r="W126" s="34" t="s">
        <v>220</v>
      </c>
      <c r="X126" s="24" t="s">
        <v>186</v>
      </c>
      <c r="Y126" s="24" t="s">
        <v>187</v>
      </c>
      <c r="Z126" s="48" t="s">
        <v>127</v>
      </c>
      <c r="AA126" s="24" t="s">
        <v>221</v>
      </c>
      <c r="AB126" s="24" t="s">
        <v>222</v>
      </c>
      <c r="AC126" s="24" t="s">
        <v>223</v>
      </c>
      <c r="AD126" s="24" t="s">
        <v>224</v>
      </c>
      <c r="AE126" s="24" t="s">
        <v>225</v>
      </c>
      <c r="AF126" s="24" t="s">
        <v>226</v>
      </c>
      <c r="AG126" s="48" t="s">
        <v>227</v>
      </c>
      <c r="AH126" s="15" t="s">
        <v>188</v>
      </c>
      <c r="AI126" s="15" t="s">
        <v>189</v>
      </c>
      <c r="AJ126" s="15" t="s">
        <v>230</v>
      </c>
      <c r="AK126" s="15" t="s">
        <v>231</v>
      </c>
      <c r="AL126" s="15" t="s">
        <v>1</v>
      </c>
      <c r="AM126" s="15" t="s">
        <v>2</v>
      </c>
      <c r="AN126" s="73" t="s">
        <v>79</v>
      </c>
      <c r="AO126" s="73" t="s">
        <v>13</v>
      </c>
      <c r="AP126" s="15" t="s">
        <v>238</v>
      </c>
      <c r="AQ126" s="73" t="s">
        <v>239</v>
      </c>
      <c r="AR126" s="73" t="s">
        <v>240</v>
      </c>
      <c r="AS126" s="15" t="s">
        <v>242</v>
      </c>
      <c r="AT126" s="15" t="s">
        <v>243</v>
      </c>
      <c r="AU126" s="74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</row>
    <row r="127" spans="1:109" ht="17.25" hidden="1">
      <c r="A127" s="6" t="s">
        <v>258</v>
      </c>
      <c r="B127" s="51">
        <f>B47+MOD(R80+K102+X102,24)/876600</f>
        <v>0.23794799834380007</v>
      </c>
      <c r="C127" s="41">
        <f>MOD((((0.064*B127+31.31)*B127+1717915922.633)*B127+485866.733)/3600,360)*PI()/180</f>
        <v>4.9476381290816516</v>
      </c>
      <c r="D127" s="41">
        <f>MOD((((-0.012*B127-0.577)*B127+(99*1296000+1292581.224)*B127)+1287099.804)/3600,360)*PI()/180</f>
        <v>4.9467806895411233</v>
      </c>
      <c r="E127" s="41">
        <f>MOD((((0.011*B127-13.257)*B127+1739527263.137*B127)+335778.877)/3600,360)*PI()/180</f>
        <v>4.0181651254227084</v>
      </c>
      <c r="F127" s="41">
        <f>MOD((((0.019*B127-6.891)*B127+1602961601.328*B127)+1072261.307)/3600,360)*PI()/180</f>
        <v>0.84243225738667804</v>
      </c>
      <c r="G127" s="41">
        <f>MOD((((0.008*B127+7.455)*B127-6962890.539*B127)+450160.28)/3600,360)*PI()/180</f>
        <v>0.43321102392137467</v>
      </c>
      <c r="H127" s="42">
        <f>SIN(G127)*(-171996-174.2*B127)+SIN(2*G127)*(2062+0.2*B127)+SIN(2*(-C127+E127)+G127)*46+SIN(2*(C127-E127))*11+SIN(2*(-C127+E127+G127))*-3+SIN(C127-D127-F127)*-3+SIN(2*(-D127+E127-F127)+G127)*-2+SIN(2*(C127-E127)+G127)+SIN(2*(E127-F127+G127))*(-13187-1.6*B127)+SIN(D127)*(1426-3.4*B127)+SIN(D127+2*(E127-F127+G127))*(-517+1.2*B127)+SIN(-D127+2*(E127-F127+G127))*(217-0.5*B127)+SIN(2*(E127-F127)+G127)*(129+0.1*B127)+SIN(2*(C127-F127))*48+SIN(2*(E127-F127))*-22+SIN(2*D127)*(17-0.1*B127)+SIN(D127+G127)*-15+SIN(2*(D127+E127-F127+G127))*(-16+0.1*B127)+SIN(-D127+G127)*-12+SIN(2*(-C127+F127)+G127)*-6+SIN(-D127+2*(E127-F127)+G127)*-5+SIN(2*(C127-F127)+G127)*4+SIN(2*(E127-F127)+G127)*4+SIN(C127-F127)*-4+SIN(2*(C127-F127)+D127)+SIN(2*(-E127+F127)+G127)-SIN(D127+2*(-E127+F127))+SIN(D127+2*G127)+SIN(-C127+F127+G127)-SIN(D127+2*(E127-F127))+SIN(2*E127+2*G127)*(-2274-0.2*B127)+SIN(C127)*(712+0.1*B127)+SIN(2*E127+G127)*(-386-0.4*B127)+SIN(C127+2*(E127+G127))*-301+SIN(C127-2*F127)*-158+SIN(-C127+2*(E127+G127))*123+SIN(2*F127)*63+SIN(C127+G127)*(63+0.1*B127)+SIN(-C127+G127)*(-58-0.1*B127)+SIN(-C127+2*(E127+F127+G127))*-59+SIN(C127+2*E127+G127)*-51+SIN(2*(E127+F127+G127))*-38+SIN(2*C127)*29+SIN(C127+2*(E127-F127+G127))*29+SIN(2*(C127+E127+G127))*-31+SIN(2*E127)*26+SIN(-C127+2*E127+G127)*21+SIN(-C127+2*F127+G127)*16+SIN(C127-2*F127+G127)*-13+SIN(-C127+2*(E127+F127)+G127)*-10+SIN(C127+D127-2*F127)*-7+SIN(D127+2*(E127+G127))*7+SIN(-D127+2*(E127+G127))*-7</f>
        <v>-84679.625430126092</v>
      </c>
      <c r="I127" s="41">
        <f>(H127+SIN(C127+2*(E127+F127+G127))*-8+SIN(C127+2*F127)*6+SIN(2*(C127+E127-F127+G127))*6+SIN(2*F127+G127)*-6+SIN(2*(E127+F127)+G127)*-7+SIN(C127+2*(E127-F127)+G127)*6+SIN(-2*F127+G127)*-5+SIN(C127-D127)*5+SIN(2*(C127+E127)+G127)*-5+SIN(D127-2*F127)*-4+SIN(C127-2*E127)*4+SIN(F127)*-4+SIN(C127+D127)*-3+SIN(C127+2*E127)*3+SIN(C127-D127+2*(E127+G127))*-3+SIN(-C127-D127+2*(E127+F127+G127))*-3+SIN(-2*C127+G127)*-2+SIN(3*C127+2*(E127+G127))*-3+SIN(-D127+2*(E127+F127+G127))*-3+SIN(C127+D127+2*(E127+G127))*2+SIN(-C127+2*(E127-F127)+G127)*-2+SIN(2*C127+G127)*2+SIN(C127+2*G127)*-2+SIN(3*C127)*2+SIN(2*(E127+G127)+F127)*2+SIN(-C127+2*G127)-SIN(C127-4*F127)+SIN(2*(-C127+E127+F127+G127))+SIN(-C127+2*(E127+2*F127+G127))*-2-SIN(2*(C127-2*F127))+SIN(C127+D127+2*(E127-F127+G127))-SIN(C127+2*(E127+F127)+G127)-SIN(2*(-C127+E127+2*F127+G127))+SIN(-C127+2*(2*E127+G127))+SIN(C127-D127-2*F127)+SIN(2*(C127+E127-F127)+G127)-SIN(2*(C127+E127+F127+G127))-SIN(C127+2*F127+G127)+SIN(2*(2*E127-F127+G127))+SIN(3*C127+2*(E127-F127+G127))-SIN(C127+2*(E127-F127))+SIN(D127+2*E127+G127)+SIN(-C127-D127+2*F127+G127)-SIN(-2*E127+G127)-SIN(2*E127-F127+2*G127)-SIN(D127+2*F127)-SIN(C127+2*(-E127-F127))-SIN(-D127+2*E127+G127)-SIN(C127+D127-2*F127+G127)-SIN(C127+2*(-E127+F127))+SIN(2*(C127+F127))-SIN(2*(E127+2*F127+G127))+SIN(D127+F127))/6480000000*PI()</f>
        <v>-4.1059765791561478E-5</v>
      </c>
      <c r="J127" s="42">
        <f>COS(G127)*(92025+8.9*B127)+COS(2*G127)*(-895+0.5*B127)+COS(2*(-C127+E127)+G127)*-24+COS(2*(-C127+E127+G127))+COS(2*(-D127+E127-F127)+G127)+COS(2*(E127-F127+G127))*(5736-3.1*B127)+COS(D127)*(54-0.1*B127)+COS(D127+2*(E127-F127+G127))*(224-0.6*B127)+COS(-D127+2*(E127-F127+G127))*(-95-0.3*B127)+COS(2*(E127-F127)+G127)*-70+COS(2*(C127-F127))+COS(D127+G127)*9+COS(2*(D127+E127-F127+G127))*7+COS(-D127+G127)*6+COS(2*(-C127+F127)+G127)*3+COS(-D127+2*(E127-F127)+G127)*3+COS(2*(C127-F127)+G127)*-2+COS(D127+2*(E127-F127)+G127)*-2+COS(PI()/2)+COS(PI()/2)+COS(PI()/2)+COS(PI()/2)+COS(PI()/2)+COS(PI()/2)+COS(2*E127+2*G127)*(977-0.5*B127)+COS(C127)*-7+COS(2*E127+G127)*200+COS(C127+2*(E127+G127))*(129-0.1*B127)-COS(C127-2*F127)+COS(-C127+2*(E127+G127))*-53+COS(2*F127)*-2+COS(C127+G127)*-33+COS(-C127+G127)*32+COS(-C127+2*(E127+F127+G127))*26+COS(C127+2*E127+G127)*27+COS(2*(E127+F127+G127))*16-COS(2*C127)+COS(C127+2*(E127-F127+G127))*-12+COS(2*(C127+E127+G127))*13-COS(2*E127)+COS(-C127+2*E127+G127)*-10+COS(-C127+2*F127+G127)*-8+COS(C127-2*F127+G127)*7+COS(-C127+2*(E127+F127)+G127)*5+COS(D127+2*(E127+G127))*-3+COS(-D127+2*(E127+G127))*3</f>
        <v>85699.555523084855</v>
      </c>
      <c r="K127" s="41">
        <f>(J127+COS(C127+2*(E127+F127+G127))*3+COS(2*(C127+E127-F127+G127))*-3+COS(2*F127+G127)*3+COS(2*(E127+F127)+G127)*3+COS(C127+2*(E127-F127)+G127)*-3+COS(-2*F127+G127)*3+COS(2*(C127+E127)+G127)*3+COS(C127-D127+2*(E127+G127))+COS(-C127-D127+2*(E127+F127+G127))+COS(-2*C127+G127)+COS(3*C127+2*(E127+G127))+COS(-D127+2*(E127+F127+G127))-COS(C127+D127+2*(E127+G127))+COS(-C127+2*(E127-F127)+G127)-COS(2*C127+G127)+COS(C127+2*G127)-COS(2*(E127+G127)+F127)-COS(-C127+2*G127)-COS(2*(-C127+E127+F127+G127))+COS(-C127+2*(E127+2*F127+G127))-COS(C127+D127+2*(E127-F127+G127))+COS(C127+2*(E127+F127)+G127)+COS(2*(-C127+E127+2*F127+G127))-COS(2*(C127+E127-F127)+G127))/6480000000*PI()</f>
        <v>4.1546337278442986E-5</v>
      </c>
      <c r="L127" s="41">
        <f>(((((((((((245*B127/100+579)*B127/100+2787)*B127/100+712)*B127/100-3905)*B127/100-24967)*B127/100-5138)*B127/1007+199925)*B127/100-155)*B127/100-468093)*B127/100+158144.8)/360000+23)*PI()/180</f>
        <v>0.40903880489358785</v>
      </c>
      <c r="M127" s="42">
        <v>0</v>
      </c>
      <c r="N127" s="42">
        <v>0</v>
      </c>
      <c r="O127" s="52">
        <f>MOD((-(B127*36525+N127/86400)/36525/38710000+0.000387933)*(B127*36525+N127/86400)/36525*(B127*36525+N127/86400)/36525+360.98564736629*(B127*36525+N127/86400)/36525*36525+280.46061837-AG127*180/PI(),360)*PI()/180</f>
        <v>4.1434471806180344</v>
      </c>
      <c r="P127" s="41">
        <f>MOD(O127+I127*COS(Z127),2*PI())</f>
        <v>4.1434095088160605</v>
      </c>
      <c r="Q127" s="41">
        <f>MOD((((-B127/113065000+1/545868)*B127-0.0018819)*B127+445267.1114034)*B127+297.8501921,360)*PI()/180</f>
        <v>0.84243504055530671</v>
      </c>
      <c r="R127" s="41">
        <f>MOD(((B127/24490000-0.0001536)*B127+35999.0502909)*B127+357.5291092,360)*PI()/180</f>
        <v>4.9468051907133139</v>
      </c>
      <c r="S127" s="41">
        <f>MOD((((-B127/14712000+1/69699)*B127+0.0087414)*B127+477198.8675055)*B127+134.9633964,360)*PI()/180</f>
        <v>4.9476458614519903</v>
      </c>
      <c r="T127" s="41">
        <f>MOD((((B127/863310000-1/3526000)*B127-0.0036539)*B127+483202.0175233)*B127+93.272095,360)*PI()/180</f>
        <v>4.0181799676462804</v>
      </c>
      <c r="U127" s="41">
        <f>(-0.0000074*B127-0.002516)*B127+1</f>
        <v>0.9994009038537176</v>
      </c>
      <c r="V127" s="41">
        <f>MOD((((-B127/65194000+1/538841)*B127-0.0015786)*B127+481267.88123421)*B127+218.3164477,360)*PI()/180</f>
        <v>4.451381364477764</v>
      </c>
      <c r="W127" s="41">
        <f>MOD(131.849*B127+119.75,350)*PI()/180</f>
        <v>2.6375975144753165</v>
      </c>
      <c r="X127" s="41">
        <f>SIN(S127)*6288774+SIN(2*Q127-S127)*1274027+SIN(2*Q127)*658314+SIN(2*S127)*213618+SIN(R127)*-185116*U127+SIN(2*T127)*-114332+SIN(2*(Q127-S127))*58793+SIN(2*Q127-R127-S127)*57066*U127+SIN(2*Q127+S127)*53322+SIN(2*Q127-R127)*45758*U127+SIN(R127-S127)*-40923*U127+SIN(Q127)*-34720+SIN(R127+S127)*-30383*U127+SIN(2*(Q127-T127))*15327+SIN(S127+2*T127)*-12528+SIN(S127-2*T127)*10980+SIN(4*Q127-S127)*10675+SIN(3*S127)*10034+SIN(2*(2*Q127-S127))*8548+SIN(2*Q127+R127-S127)*-7888*U127+SIN(2*Q127+R127)*-6766*U127+SIN(Q127-S127)*-5163+SIN(Q127+R127)*4987*U127+SIN(2*Q127-R127+S127)*4036*U127+SIN(2*(Q127+S127))*3994+SIN(4*Q127)*3861+SIN(2*Q127-3*S127)*3665+SIN(R127-2*S127)*-2689*U127+SIN(2*(Q127+T127)-S127)*-2602+SIN(2*(Q127-S127)-R127)*2390*U127+SIN(Q127+S127)*-2348+SIN(2*(Q127-R127))*2236*U127*U127+SIN(R127+2*S127)*-2120*U127+SIN(2*R127)*-2069*U127*U127+SIN(2*(Q127-R127)-S127)*2048*U127*U127+SIN(2*(Q127-T127)+S127)*-1773+SIN(2*(Q127+T127))*-1595+SIN(4*Q127-R127-S127)*1215*U127+SIN(2*(S127+T127))*-1110+SIN(3*Q127-S127)*-892+SIN(2*Q127+R127+S127)*-810*U127+SIN(4*Q127-R127-2*S127)*759*U127+SIN(2*R127-S127)*-713*U127*U127+SIN(2*(Q127+R127)-S127)*-700*U127*U127+SIN(2*(Q127-S127)+R127)*691*U127+SIN(2*(Q127-T127)-R127)*596*U127+SIN(4*Q127+S127)*549+SIN(4*S127)*537+SIN(4*Q127-R127)*520*U127+SIN(Q127-2*S127)*-487+SIN(2*(Q127-T127)+R127)*-399*U127+SIN(2*(S127-T127))*-381+SIN(Q127+R127+S127)*351*U127+SIN(3*Q127-2*S127)*-340+SIN(4*Q127-3*S127)*330+SIN(2*(Q127+S127)-R127)*327*U127+SIN(2*R127+S127)*-323*U127*U127+SIN(Q127+R127-S127)*299*U127+SIN(2*Q127+3*S127)*294</f>
        <v>-5462125.3178129075</v>
      </c>
      <c r="Y127" s="42">
        <f>SIN(T127)*5128122+SIN(S127+T127)*280602+SIN(S127-T127)*277693+SIN(2*Q127-T127)*173237+SIN(2*Q127-S127+T127)*55413+SIN(2*Q127-S127-T127)*46271+SIN(2*Q127+T127)*32573+SIN(2*S127+T127)*17198+SIN(2*Q127+S127-T127)*9266+SIN(2*S127-T127)*8822+SIN(2*Q127-R127-T127)*8216*U127+SIN(2*(Q127-S127)-T127)*4324+SIN(2*Q127+S127+T127)*4200+SIN(2*Q127+R127-T127)*-3359*U127+SIN(2*Q127-R127-S127+T127)*2463*U127+SIN(2*Q127-R127+T127)*2211*U127+SIN(2*Q127-R127-S127-T127)*2065*U127+SIN(R127-S127-T127)*-1870*U127+SIN(4*Q127-S127-T127)*1828+SIN(R127+T127)*-1794*U127+SIN(3*T127)*-1749+SIN(R127-S127+T127)*-1565*U127+SIN(Q127+T127)*-1491+SIN(R127+S127+T127)*-1475*U127+SIN(R127+S127-T127)*-1410*U127+SIN(R127-T127)*-1344*U127+SIN(Q127-T127)*-1335+SIN(3*S127+T127)*1107+SIN(4*Q127-T127)*1021+SIN(4*Q127-S127+T127)*833</f>
        <v>-3726888.057037103</v>
      </c>
      <c r="Z127" s="41">
        <f>K127+L127</f>
        <v>0.40908035123086628</v>
      </c>
      <c r="AA127" s="41">
        <f>MOD(V127+(X127+SIN(W127)*3958+SIN(V127-T127)*1962+SIN(MOD(479264.29*B127+53.09,360)*PI()/180)*318)/1000000*PI()/180+I127,2*PI())</f>
        <v>4.3560534553024288</v>
      </c>
      <c r="AB127" s="41">
        <f>(Y127+SIN(S127-3*T127)*777+SIN(4*Q127-2*S127+T127)*671+SIN(2*Q127-3*T127)*607+SIN(2*(Q127+S127)-T127)*596+SIN(2*Q127-R127+S127-T127)*491*U127+SIN(2*(Q127-S127)+T127)*-451+SIN(3*S127-T127)*439+SIN(2*(Q127+S127)+T127)*422+SIN(2*Q127-3*S127-T127)*421+SIN(2*Q127+R127-S127+T127)*-366*U127+SIN(2*Q127+R127+T127)*-351*U127+SIN(4*Q127+T127)*331+SIN(2*Q127-R127+S127+T127)*315*U127+SIN(2*(Q127-R127)-T127)*302*U127*U127+SIN(S127+3*T127)*-283+SIN(2*Q127+R127+S127-T127)*-229*U127+SIN(Q127+R127-T127)*223*U127+SIN(Q127+R127+T127)*223*U127+SIN(R127-2*S127-T127)*-220*U127+SIN(2*Q127+R127-S127-T127)*-220*U127+SIN(Q127+S127+T127)*-185+SIN(2*(Q127-S127)-R127-T127)*181*U127+SIN(R127+2*S127+T127)*-177*U127+SIN(4*Q127-2*S127-T127)*176+SIN(4*Q127-R127-S127-T127)*166*U127+SIN(Q127+S127-T127)*-164+SIN(4*Q127+S127-T127)*132+SIN(Q127-S127-T127)*-119+SIN(4*Q127-R127-T127)*115*U127+SIN(2*(Q127-R127)+T127)*107*U127*U127+SIN(V127)*-2235+SIN(MOD(481266.484*B127+313.45,360)*PI()/180)*382+SIN(W127-T127)*175+SIN(W127+T127)*175+SIN(V127-S127)*127+SIN(V127+S127)*-115)*PI()/180000000</f>
        <v>-6.4993167937242524E-2</v>
      </c>
      <c r="AC127" s="42">
        <f>385000.56+(COS(S127)*-20905355+COS(2*Q127-S127)*-3699111+COS(2*Q127)*-2955968+COS(2*S127)*-569925+COS(R127)*48888*U127+COS(2*T127)*-3149+COS(2*(Q127-S127))*246158+COS(2*Q127-R127-S127)*-152138*U127+COS(2*Q127+S127)*-170733+COS(2*Q127-R127)*-204586*U127+COS(R127-S127)*-129620*U127+COS(Q127)*108743+COS(R127+S127)*104755*U127+COS(2*(Q127-T127))*10321+COS(S127-2*T127)*79661+COS(4*Q127-S127)*-34782+COS(3*S127)*-23210+COS(2*(2*Q127-S127))*-21636+COS(2*Q127+R127-S127)*24208*U127+COS(2*Q127+R127)*30824*U127+COS(Q127-S127)*-8379+COS(Q127+R127)*-16675*U127+COS(2*Q127-R127+S127)*-12831*U127+COS(2*(Q127+S127))*-10445+COS(4*Q127)*-11650+COS(2*Q127-3*S127)*14403+COS(R127-2*S127)*-7003*U127+COS(2*(Q127-S127)-R127)*10056*U127+COS(Q127+S127)*6322+COS(2*(Q127-R127))*-9884*U127*U127+COS(R127+2*S127)*5751*U127+COS(2*(Q127-R127)-S127)*-4950*U127*U127+COS(2*(Q127-T127)+S127)*4130+COS(4*Q127-R127-S127)*-3958*U127+COS(3*Q127-S127)*3258+COS(2*Q127+R127+S127)*2616*U127+COS(4*Q127-R127-2*S127)*-1897*U127+COS(2*R127-S127)*-2117*U127*U127+COS(2*(Q127+R127)-S127)*2354*U127*U127+COS(4*Q127+S127)*-1423+COS(4*S127)*-1117+COS(4*Q127-R127)*-1571*U127+COS(Q127-2*S127)*-1739+COS(2*(S127-T127))*-4421+COS(2*R127+S127)*1165*U127*U127+COS(2*(Q127-T127)-S127)*8752)/1000</f>
        <v>384484.8026673664</v>
      </c>
      <c r="AD127" s="41">
        <f>IF(2*ATAN((-SIN(AB127)*SIN(Z127)+COS(AB127)*COS(Z127)*SIN(AA127))/(COS(AE127)+COS(AB127)*COS(AA127)))&lt;0,2*ATAN((-SIN(AB127)*SIN(Z127)+COS(AB127)*COS(Z127)*SIN(AA127))/(COS(AE127)+COS(AB127)*COS(AA127)))+2*PI(),2*ATAN((-SIN(AB127)*SIN(Z127)+COS(AB127)*COS(Z127)*SIN(AA127))/(COS(AE127)+COS(AB127)*COS(AA127))))</f>
        <v>4.3162115810843193</v>
      </c>
      <c r="AE127" s="41">
        <f>ASIN(SIN(AB127)*COS(Z127)+COS(AB127)*SIN(Z127)*SIN(AA127))</f>
        <v>-0.44624358729268648</v>
      </c>
      <c r="AF127" s="41">
        <f>ASIN(6378.14/AC127)</f>
        <v>1.6589557047281028E-2</v>
      </c>
      <c r="AG127" s="52">
        <f>B80*PI()/180</f>
        <v>-0.21642082724729686</v>
      </c>
      <c r="AH127" s="8">
        <f>(1-1/298.257)*SIN(ATAN((1-1/298.257)*TAN(AJ127)))+E11/6378140*SIN(AJ127)</f>
        <v>0.77680705866072952</v>
      </c>
      <c r="AI127" s="8">
        <f>COS(ATAN((1-1/298.257)*TAN(AJ127)))+E11/6378140*COS(AJ127)</f>
        <v>0.6265339810363213</v>
      </c>
      <c r="AJ127" s="17">
        <f>C80</f>
        <v>0.89535390627309097</v>
      </c>
      <c r="AK127" s="8">
        <f>MOD(P127-AD127,2*PI())</f>
        <v>6.1103832349113274</v>
      </c>
      <c r="AL127" s="8">
        <f>COS(AE127)*SIN(AK127)</f>
        <v>-0.15510574818110329</v>
      </c>
      <c r="AM127" s="8">
        <f>COS(AE127)*COS(AK127)-AI127*SIN(AF127)</f>
        <v>0.87824646641843451</v>
      </c>
      <c r="AN127" s="8">
        <f>SIN(AE127)-AH127*SIN(AF127)</f>
        <v>-0.44446631622706284</v>
      </c>
      <c r="AO127" s="8">
        <f>SQRT(AL127*AL127+AM127*AM127+AN127*AN127)</f>
        <v>0.99645619831267129</v>
      </c>
      <c r="AP127" s="17">
        <f>MOD(IF(AM127&lt;0,(ATAN(AL127/AM127))+PI(),ATAN(AL127/AM127)),2*PI())</f>
        <v>6.1083794120359762</v>
      </c>
      <c r="AQ127" s="8">
        <f>MOD(P127-AP127,2*PI())</f>
        <v>4.3182154039596705</v>
      </c>
      <c r="AR127" s="8">
        <f>ASIN(AN127/AO127)</f>
        <v>-0.46234376079202882</v>
      </c>
      <c r="AS127" s="17">
        <f>MOD(ATAN2(COS(AK127)*SIN(AJ127)-TAN(AR127)*COS(AJ127),SIN(AK127))*180/PI()+180,360)</f>
        <v>170.95741879059671</v>
      </c>
      <c r="AT127" s="104">
        <f>ASIN(SIN(AJ127)*SIN(AR127)+COS(AJ127)*COS(AR127)*COS(AK127))*180/PI()</f>
        <v>11.721532930142244</v>
      </c>
      <c r="AU127" s="17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</row>
    <row r="128" spans="1:109" ht="17.25" hidden="1">
      <c r="A128" s="6"/>
      <c r="B128" s="24" t="s">
        <v>98</v>
      </c>
      <c r="C128" s="34" t="s">
        <v>99</v>
      </c>
      <c r="D128" s="34" t="s">
        <v>210</v>
      </c>
      <c r="E128" s="34" t="s">
        <v>101</v>
      </c>
      <c r="F128" s="34" t="s">
        <v>102</v>
      </c>
      <c r="G128" s="34" t="s">
        <v>211</v>
      </c>
      <c r="H128" s="48" t="s">
        <v>212</v>
      </c>
      <c r="I128" s="48" t="s">
        <v>105</v>
      </c>
      <c r="J128" s="42" t="s">
        <v>213</v>
      </c>
      <c r="K128" s="48" t="s">
        <v>107</v>
      </c>
      <c r="L128" s="48" t="s">
        <v>214</v>
      </c>
      <c r="M128" s="42" t="s">
        <v>109</v>
      </c>
      <c r="N128" s="63" t="s">
        <v>185</v>
      </c>
      <c r="O128" s="96" t="s">
        <v>215</v>
      </c>
      <c r="P128" s="97" t="s">
        <v>216</v>
      </c>
      <c r="Q128" s="41" t="s">
        <v>110</v>
      </c>
      <c r="R128" s="41" t="s">
        <v>111</v>
      </c>
      <c r="S128" s="41" t="s">
        <v>111</v>
      </c>
      <c r="T128" s="41" t="s">
        <v>112</v>
      </c>
      <c r="U128" s="41" t="s">
        <v>113</v>
      </c>
      <c r="V128" s="41" t="s">
        <v>114</v>
      </c>
      <c r="W128" s="41" t="s">
        <v>115</v>
      </c>
      <c r="X128" s="41" t="s">
        <v>116</v>
      </c>
      <c r="Y128" s="41" t="s">
        <v>117</v>
      </c>
      <c r="Z128" s="41" t="s">
        <v>118</v>
      </c>
      <c r="AA128" s="41" t="s">
        <v>119</v>
      </c>
      <c r="AB128" s="41" t="s">
        <v>120</v>
      </c>
      <c r="AC128" s="41" t="s">
        <v>121</v>
      </c>
      <c r="AD128" s="41" t="s">
        <v>122</v>
      </c>
      <c r="AE128" s="41" t="s">
        <v>123</v>
      </c>
      <c r="AF128" s="41" t="s">
        <v>124</v>
      </c>
      <c r="AG128" s="41" t="s">
        <v>228</v>
      </c>
      <c r="AH128" s="41" t="s">
        <v>229</v>
      </c>
      <c r="AI128" s="41" t="s">
        <v>127</v>
      </c>
      <c r="AJ128" s="41" t="s">
        <v>232</v>
      </c>
      <c r="AK128" s="41" t="s">
        <v>233</v>
      </c>
      <c r="AL128" s="41" t="s">
        <v>190</v>
      </c>
      <c r="AM128" s="41" t="s">
        <v>234</v>
      </c>
      <c r="AN128" s="41" t="s">
        <v>235</v>
      </c>
      <c r="AO128" s="41" t="s">
        <v>236</v>
      </c>
      <c r="AP128" s="41" t="s">
        <v>237</v>
      </c>
      <c r="AQ128" s="41" t="s">
        <v>227</v>
      </c>
      <c r="AR128" s="41"/>
      <c r="AS128" s="41"/>
      <c r="AT128" s="41"/>
      <c r="AU128" s="4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</row>
    <row r="129" spans="1:109" ht="17.25" hidden="1">
      <c r="A129" s="6" t="s">
        <v>259</v>
      </c>
      <c r="B129" s="51">
        <f>B127</f>
        <v>0.23794799834380007</v>
      </c>
      <c r="C129" s="41">
        <f>MOD((((0.064*B129+31.31)*B129+1717915922.633)*B129+485866.733)/3600,360)*PI()/180</f>
        <v>4.9476381290816516</v>
      </c>
      <c r="D129" s="41">
        <f>MOD((((-0.012*B129-0.577)*B129+(99*1296000+1292581.224)*B129)+1287099.804)/3600,360)*PI()/180</f>
        <v>4.9467806895411233</v>
      </c>
      <c r="E129" s="41">
        <f>MOD((((0.011*B129-13.257)*B129+1739527263.137*B129)+335778.877)/3600,360)*PI()/180</f>
        <v>4.0181651254227084</v>
      </c>
      <c r="F129" s="41">
        <f>MOD((((0.019*B129-6.891)*B129+1602961601.328*B129)+1072261.307)/3600,360)*PI()/180</f>
        <v>0.84243225738667804</v>
      </c>
      <c r="G129" s="41">
        <f>MOD((((0.008*B129+7.455)*B129-6962890.539*B129)+450160.28)/3600,360)*PI()/180</f>
        <v>0.43321102392137467</v>
      </c>
      <c r="H129" s="42">
        <f>SIN(G129)*(-171996-174.2*B129)+SIN(2*G129)*(2062+0.2*B129)+SIN(2*(-C129+E129)+G129)*46+SIN(2*(C129-E129))*11+SIN(2*(-C129+E129+G129))*-3+SIN(C129-D129-F129)*-3+SIN(2*(-D129+E129-F129)+G129)*-2+SIN(2*(C129-E129)+G129)+SIN(2*(E129-F129+G129))*(-13187-1.6*B129)+SIN(D129)*(1426-3.4*B129)+SIN(D129+2*(E129-F129+G129))*(-517+1.2*B129)+SIN(-D129+2*(E129-F129+G129))*(217-0.5*B129)+SIN(2*(E129-F129)+G129)*(129+0.1*B129)+SIN(2*(C129-F129))*48+SIN(2*(E129-F129))*-22+SIN(2*D129)*(17-0.1*B129)+SIN(D129+G129)*-15+SIN(2*(D129+E129-F129+G129))*(-16+0.1*B129)+SIN(-D129+G129)*-12+SIN(2*(-C129+F129)+G129)*-6+SIN(-D129+2*(E129-F129)+G129)*-5+SIN(2*(C129-F129)+G129)*4+SIN(2*(E129-F129)+G129)*4+SIN(C129-F129)*-4+SIN(2*(C129-F129)+D129)+SIN(2*(-E129+F129)+G129)-SIN(D129+2*(-E129+F129))+SIN(D129+2*G129)+SIN(-C129+F129+G129)-SIN(D129+2*(E129-F129))+SIN(2*E129+2*G129)*(-2274-0.2*B129)+SIN(C129)*(712+0.1*B129)+SIN(2*E129+G129)*(-386-0.4*B129)+SIN(C129+2*(E129+G129))*-301+SIN(C129-2*F129)*-158+SIN(-C129+2*(E129+G129))*123+SIN(2*F129)*63+SIN(C129+G129)*(63+0.1*B129)+SIN(-C129+G129)*(-58-0.1*B129)+SIN(-C129+2*(E129+F129+G129))*-59+SIN(C129+2*E129+G129)*-51+SIN(2*(E129+F129+G129))*-38+SIN(2*C129)*29+SIN(C129+2*(E129-F129+G129))*29+SIN(2*(C129+E129+G129))*-31+SIN(2*E129)*26+SIN(-C129+2*E129+G129)*21+SIN(-C129+2*F129+G129)*16+SIN(C129-2*F129+G129)*-13+SIN(-C129+2*(E129+F129)+G129)*-10+SIN(C129+D129-2*F129)*-7+SIN(D129+2*(E129+G129))*7+SIN(-D129+2*(E129+G129))*-7</f>
        <v>-84679.625430126092</v>
      </c>
      <c r="I129" s="41">
        <f>(H129+SIN(C129+2*(E129+F129+G129))*-8+SIN(C129+2*F129)*6+SIN(2*(C129+E129-F129+G129))*6+SIN(2*F129+G129)*-6+SIN(2*(E129+F129)+G129)*-7+SIN(C129+2*(E129-F129)+G129)*6+SIN(-2*F129+G129)*-5+SIN(C129-D129)*5+SIN(2*(C129+E129)+G129)*-5+SIN(D129-2*F129)*-4+SIN(C129-2*E129)*4+SIN(F129)*-4+SIN(C129+D129)*-3+SIN(C129+2*E129)*3+SIN(C129-D129+2*(E129+G129))*-3+SIN(-C129-D129+2*(E129+F129+G129))*-3+SIN(-2*C129+G129)*-2+SIN(3*C129+2*(E129+G129))*-3+SIN(-D129+2*(E129+F129+G129))*-3+SIN(C129+D129+2*(E129+G129))*2+SIN(-C129+2*(E129-F129)+G129)*-2+SIN(2*C129+G129)*2+SIN(C129+2*G129)*-2+SIN(3*C129)*2+SIN(2*(E129+G129)+F129)*2+SIN(-C129+2*G129)-SIN(C129-4*F129)+SIN(2*(-C129+E129+F129+G129))+SIN(-C129+2*(E129+2*F129+G129))*-2-SIN(2*(C129-2*F129))+SIN(C129+D129+2*(E129-F129+G129))-SIN(C129+2*(E129+F129)+G129)-SIN(2*(-C129+E129+2*F129+G129))+SIN(-C129+2*(2*E129+G129))+SIN(C129-D129-2*F129)+SIN(2*(C129+E129-F129)+G129)-SIN(2*(C129+E129+F129+G129))-SIN(C129+2*F129+G129)+SIN(2*(2*E129-F129+G129))+SIN(3*C129+2*(E129-F129+G129))-SIN(C129+2*(E129-F129))+SIN(D129+2*E129+G129)+SIN(-C129-D129+2*F129+G129)-SIN(-2*E129+G129)-SIN(2*E129-F129+2*G129)-SIN(D129+2*F129)-SIN(C129+2*(-E129-F129))-SIN(-D129+2*E129+G129)-SIN(C129+D129-2*F129+G129)-SIN(C129+2*(-E129+F129))+SIN(2*(C129+F129))-SIN(2*(E129+2*F129+G129))+SIN(D129+F129))*PI()/6480000000</f>
        <v>-4.1059765791561485E-5</v>
      </c>
      <c r="J129" s="42">
        <f>COS(G129)*(92025+8.9*B129)+COS(2*G129)*(-895+0.5*B129)+COS(2*(-C129+E129)+G129)*-24+COS(2*(-C129+E129+G129))+COS(2*(-D129+E129-F129)+G129)+COS(2*(E129-F129+G129))*(5736-3.1*B129)+COS(D129)*(54-0.1*B129)+COS(D129+2*(E129-F129+G129))*(224-0.6*B129)+COS(-D129+2*(E129-F129+G129))*(-95-0.3*B129)+COS(2*(E129-F129)+G129)*-70+COS(2*(C129-F129))+COS(D129+G129)*9+COS(2*(D129+E129-F129+G129))*7+COS(-D129+G129)*6+COS(2*(-C129+F129)+G129)*3+COS(-D129+2*(E129-F129)+G129)*3+COS(2*(C129-F129)+G129)*-2+COS(D129+2*(E129-F129)+G129)*-2+COS(PI()/2)+COS(PI()/2)+COS(PI()/2)+COS(PI()/2)+COS(PI()/2)+COS(PI()/2)+COS(2*E129+2*G129)*(977-0.5*B129)+COS(C129)*-7+COS(2*E129+G129)*200+COS(C129+2*(E129+G129))*(129-0.1*B129)-COS(C129-2*F129)+COS(-C129+2*(E129+G129))*-53+COS(2*F129)*-2+COS(C129+G129)*-33+COS(-C129+G129)*32+COS(-C129+2*(E129+F129+G129))*26+COS(C129+2*E129+G129)*27+COS(2*(E129+F129+G129))*16-COS(2*C129)+COS(C129+2*(E129-F129+G129))*-12+COS(2*(C129+E129+G129))*13-COS(2*E129)+COS(-C129+2*E129+G129)*-10+COS(-C129+2*F129+G129)*-8+COS(C129-2*F129+G129)*7+COS(-C129+2*(E129+F129)+G129)*5+COS(D129+2*(E129+G129))*-3+COS(-D129+2*(E129+G129))*3</f>
        <v>85699.555523084855</v>
      </c>
      <c r="K129" s="41">
        <f>(J129+COS(C129+2*(E129+F129+G129))*3+COS(2*(C129+E129-F129+G129))*-3+COS(2*F129+G129)*3+COS(2*(E129+F129)+G129)*3+COS(C129+2*(E129-F129)+G129)*-3+COS(-2*F129+G129)*3+COS(2*(C129+E129)+G129)*3+COS(C129-D129+2*(E129+G129))+COS(-C129-D129+2*(E129+F129+G129))+COS(-2*C129+G129)+COS(3*C129+2*(E129+G129))+COS(-D129+2*(E129+F129+G129))-COS(C129+D129+2*(E129+G129))+COS(-C129+2*(E129-F129)+G129)-COS(2*C129+G129)+COS(C129+2*G129)-COS(2*(E129+G129)+F129)-COS(-C129+2*G129)-COS(2*(-C129+E129+F129+G129))+COS(-C129+2*(E129+2*F129+G129))-COS(C129+D129+2*(E129-F129+G129))+COS(C129+2*(E129+F129)+G129)+COS(2*(-C129+E129+2*F129+G129))-COS(2*(C129+E129-F129)+G129))*PI()/6480000000</f>
        <v>4.1546337278442986E-5</v>
      </c>
      <c r="L129" s="41">
        <f>(((((((((((245*B129/100+579)*B129/100+2787)*B129/100+712)*B129/100-3905)*B129/100-24967)*B129/100-5138)*B129/1007+199925)*B129/100-155)*B129/100-468093)*B129/100+158144.8)/360000+23)*PI()/180</f>
        <v>0.40903880489358785</v>
      </c>
      <c r="M129" s="42">
        <v>0</v>
      </c>
      <c r="N129" s="42">
        <v>0</v>
      </c>
      <c r="O129" s="52">
        <f>MOD((-(B129*36525+N129/86400)/36525/38710000+0.000387933)*(B129*36525+N129/86400)/36525*(B129*36525+N129/86400)/36525+360.98564736629*(B129*36525+N129/86400)/36525*36525+280.46061837-AQ129*180/PI(),360)*PI()/180</f>
        <v>4.1434471806180344</v>
      </c>
      <c r="P129" s="41">
        <f>MOD(O129+I129*COS(Z129),2*PI())</f>
        <v>4.1434876865836774</v>
      </c>
      <c r="Q129" s="41">
        <f>B129/10</f>
        <v>2.3794799834380008E-2</v>
      </c>
      <c r="R129" s="42">
        <f>175347046+3341656*COS(4.6692568+6283.07585*Q129)+34894*COS(4.6261+12566.1517*Q129)+3497*COS(2.7441+5753.3849*Q129)+3418*COS(2.8289+3.5231*Q129)+3136*COS(3.6277+77713.7715*Q129)+2676*COS(4.4181+7860.4194*Q129)+2343*COS(6.1352+3930.2097*Q129)+1324*COS(0.7425+11506.7698*Q129)+1273*COS(2.0371+529.691*Q129)+1199*COS(1.1096+1577.3435*Q129)+990*COS(5.233+5884.927*Q129)+902*COS(2.045+26.298*Q129)+857*COS(3.508+398.149*Q129)+780*COS(1.179+5223.694*Q129)+753*COS(2.533+5507.553*Q129)+505*COS(4.583+18849.228*Q129)+492*COS(4.205+775.523*Q129)+357*COS(2.92+0.067*Q129)+317*COS(5.849+11790.629*Q129)+284*COS(1.899+796.298*Q129)+271*COS(0.315+10977.079*Q129)+243*COS(0.345+5486.778*Q129)+206*COS(4.806+2544.314*Q129)+205*COS(1.869+5573.143*Q129)+202*COS(2.458+6069.777*Q129)+156*COS(0.833+213.299*Q129)+132*COS(3.411+2942.463*Q129)+126*COS(1.083+20.775*Q129)+115*COS(0.645+0.98*Q129)+103*COS(0.636+4694.003*Q129)+102*COS(0.976+15720.839*Q129)+102*COS(4.267+7.114*Q129)+99*COS(6.21+2146.17*Q129)+98*COS(0.68+155.42*Q129)+86*COS(5.98+161000.69*Q129)+85*COS(1.3+6275.96*Q129)+85*COS(3.67+71430.7*Q129)+80*COS(1.81+17260.15*Q129)+79*COS(3.04+12036.46*Q129)+75*COS(1.76+5088.63*Q129)+74*COS(3.5+3154.69*Q129)+74*COS(4.68+801.82*Q129)+70*COS(0.83+9437.76*Q129)+62*COS(3.98+8827.39*Q129)+61*COS(1.82+7084.9*Q129)+57*COS(2.78+6286.6*Q129)+56*COS(4.39+14143.5*Q129)+56*COS(3.47+6279.55*Q129)+52*COS(0.19+12139.55*Q129)+52*COS(1.33+1748.02*Q129)+51*COS(0.28+5856.48*Q129)+49*COS(0.49+1194.45*Q129)+41*COS(5.37+8429.24*Q129)+41*COS(2.4+19651.05*Q129)</f>
        <v>172080584.72184333</v>
      </c>
      <c r="S129" s="42">
        <f>R129+39*COS(6.17+10447.39*Q129)+37*COS(6.04+10213.29*Q129)+37*COS(2.57+1059.38*Q129)+36*COS(1.71+2352.87*Q129)+36*COS(1.78+6812.77*Q129)+33*COS(0.59+17789.85*Q129)+30*COS(0.44+83996.85*Q129)+30*COS(2.74+1349.87*Q129)+25*COS(3.16+4690.48*Q129)</f>
        <v>172080488.04698163</v>
      </c>
      <c r="T129" s="42">
        <f>628331966747+206059*COS(2.678235+6283.07585*Q129)+4303*COS(2.6351+12566.1517*Q129)+425*COS(1.59+3.523*Q129)+119*COS(5.796+26.298*Q129)+109*COS(2.966+1577.344*Q129)+93*COS(2.59+18849.23*Q129)+72*COS(1.14+529.69*Q129)+68*COS(1.87+398.15*Q129)+67*COS(4.41+5507.55*Q129)+59*COS(2.89+5223.69*Q129)+56*COS(2.17+155.42*Q129)+45*COS(0.4+796.3*Q129)+36*COS(0.47+775.52*Q129)+29*COS(2.65+7.11*Q129)+21*COS(5.34+0.98*Q129)+19*COS(1.85+5486.78*Q129)+19*COS(4.97+213.3*Q129)+17*COS(2.99+6275.96*Q129)+16*COS(0.03+2544.31*Q129)+16*COS(1.43+2146.17*Q129)+15*COS(1.21+10977.08*Q129)+12*COS(2.83+1748.02*Q129)+12*COS(3.26+5088.63*Q129)+12*COS(5.27+1194.45*Q129)+12*COS(2.08+4694*Q129)+11*COS(0.77+553.57*Q129)+10*COS(1.3+6286.6*Q129)+10*COS(4.24+1349.87*Q129)+9*COS(2.7+242.73*Q129)+9*COS(5.64+951.72*Q129)+8*COS(5.3+2352.87*Q129)+6*COS(2.65+9437.76*Q129)+6*COS(4.67+4690.48*Q129)</f>
        <v>628332008939.30005</v>
      </c>
      <c r="U129" s="41">
        <f>52919+8720*COS(1.0721+6283.0758*Q129)+309*COS(0.867+12566.152*Q129)+27*COS(0.05+3.52*Q129)+16*COS(5.19+26.3*Q129)+16*COS(3.68+155.42*Q129)+10*COS(0.76+18849.23*Q129)+9*COS(2.06+77713.77*Q129)+7*COS(0.83+775.52*Q129)+5*COS(4.66+1577.34*Q129)+4*COS(1.03+7.11*Q129)+4*COS(3.44+5573.14*Q129)+3*COS(5.14+796.3*Q129)+3*COS(6.05+5507.55*Q129)+3*COS(1.19+242.73*Q129)+3*COS(6.12+529.69*Q129)+3*COS(0.31+398.15*Q129)+3*COS(2.28+553.57*Q129)+2*COS(4.38+5223.69*Q129)+2*COS(3.75+0.98*Q129)</f>
        <v>61419.836607657977</v>
      </c>
      <c r="V129" s="41">
        <f>289*COS(5.844+6283.076*Q129)+35+17*COS(5.49+12566.15*Q129)+3*COS(5.2+155.42*Q129)+COS(4.72+3.52*Q129)+COS(5.3+18849.23*Q129)+COS(5.97+242.73*Q129)</f>
        <v>-29.334263895417664</v>
      </c>
      <c r="W129" s="41">
        <f>114*COS(3.142)+8*COS(4.13+6283.08*Q129)+COS(3.84+12566.15*Q129)</f>
        <v>-121.32507847240352</v>
      </c>
      <c r="X129" s="41">
        <f>COS(3.14)</f>
        <v>-0.9999987317275395</v>
      </c>
      <c r="Y129" s="41">
        <f>280*COS(3.199+84334.662*Q129)+102*COS(5.422+5507.553*Q129)+80*COS(3.88+5223.69*Q129)+44*COS(3.7+2352.87*Q129)+32*COS(4+1577.34*Q129)</f>
        <v>63.024656082887674</v>
      </c>
      <c r="Z129" s="41">
        <f>9*COS(3.9+5507.55*Q129)+6*COS(1.73+5223.69*Q129)</f>
        <v>-3.3060194684656334</v>
      </c>
      <c r="AA129" s="42">
        <f>100013989+1670700*COS(3.0984635+6283.07585*Q129)+13956*COS(3.05525+12566.1517*Q129)+3084*COS(5.1985+77713.7715*Q129)+1628*COS(1.1739+5753.3849*Q129)+1576*COS(2.8469+7860.4194*Q129)+925*COS(5.453+11506.77*Q129)+542*COS(4.564+3930.21*Q129)+472*COS(3.661+5884.927*Q129)+346*COS(0.964+5507.553*Q129)+329*COS(5.9+5223.694*Q129)+307*COS(0.299+5573.143*Q129)+243*COS(4.273+11790.629*Q129)+212*COS(5.847+1577.344*Q129)+186*COS(5.022+10977.079*Q129)+175*COS(3.012+18849.228*Q129)+110*COS(5.055+5486.778*Q129)+98*COS(0.89+6069.78*Q129)+86*COS(5.69+15720.84*Q129)+86*COS(1.27+161000.69*Q129)+65*COS(0.27+17260.15*Q129)+63*COS(0.92+529.69*Q129)+57*COS(2.01+83996.85*Q129)+56*COS(5.24+71430.7*Q129)+49*COS(3.25+2544.31*Q129)+47*COS(2.58+775.52*Q129)+45*COS(5.54+9437.76*Q129)+43*COS(6.01+6275.96*Q129)+39*COS(5.36+4694*Q129)+38*COS(2.39+8827.39*Q129)+37*COS(0.83+19651.05*Q129)+37*COS(4.9+12139.55*Q129)+36*COS(1.67+12036.46*Q129)+35*COS(1.84+2942.46*Q129)+33*COS(0.24+7084.9*Q129)+32*COS(0.18+5088.63*Q129)+32*COS(1.78+398.15*Q129)+28*COS(1.21+6286.6*Q129)+28*COS(1.9+6279.55*Q129)+26*COS(4.59+10447.39*Q129)</f>
        <v>99639511.961343005</v>
      </c>
      <c r="AB129" s="42">
        <f>103019*COS(1.10749+6283.07585*Q129)+1721*COS(1.0644+12566.1517*Q129)+702*COS(3.142)+32*COS(1.02+18849.23*Q129)+31*COS(2.84+5507.55*Q129)+25*COS(1.32+5223.69*Q129)+18*COS(1.42+1577.34*Q129)+10*COS(5.91+10977.08*Q129)+9*COS(1.42+6275.96*Q129)+9*COS(0.27+5486.78*Q129)</f>
        <v>100649.8689435212</v>
      </c>
      <c r="AC129" s="41">
        <f>4359*COS(5.7846+6283.0758*Q129)+124*COS(5.579+12566.152*Q129)+12*COS(3.14)+9*COS(3.63+77713.77*Q129)+6*COS(1.87+5573.14*Q129)+3*COS(5.47+18849.23*Q129)</f>
        <v>-1082.9521708336422</v>
      </c>
      <c r="AD129" s="41">
        <f>145*COS(4.273+6283.076*Q129)+7*COS(3.92+12566.15*Q129)</f>
        <v>-141.50865408973391</v>
      </c>
      <c r="AE129" s="41">
        <f>4*COS(2.56+6283.08*Q129)</f>
        <v>1.1920610240177285</v>
      </c>
      <c r="AF129" s="52">
        <f>MOD((((((X129*Q129+W129)*Q129+V129)*Q129+U129)*Q129+T129)*Q129+S129)/100000000+PI(),2*PI())</f>
        <v>3.5762943319448368</v>
      </c>
      <c r="AG129" s="41">
        <f>AF129+(-0.00031*B129-1.397)*B129*PI()/180</f>
        <v>3.5704923181057922</v>
      </c>
      <c r="AH129" s="52">
        <f>MOD((((((X129*Q129+W129)*Q129+V129)*Q129+U129)*Q129+T129)*Q129+S129)/100000000-0.09033*PI()/648000+PI(),2*PI())</f>
        <v>3.5762938940126503</v>
      </c>
      <c r="AI129" s="41">
        <f>L129+K129</f>
        <v>0.40908035123086628</v>
      </c>
      <c r="AJ129" s="41">
        <f>MOD(AH129+I129-20.4898/AL129*PI()/648000,2*PI())</f>
        <v>3.5761531398940201</v>
      </c>
      <c r="AK129" s="41">
        <f>-((Z129*Q129+Y129)/100000000)+0.03916*(COS(AG129)-SIN(AG129))*PI()/648000</f>
        <v>-7.2316253393740041E-7</v>
      </c>
      <c r="AL129" s="41">
        <f>((((AE129*Q129+AD129)*Q129+AC129)*Q129+AB129)*Q129+AA129)/100000000</f>
        <v>0.99641906289762394</v>
      </c>
      <c r="AM129" s="41">
        <f>959.63/AL129*PI()/648000</f>
        <v>4.6691374154384756E-3</v>
      </c>
      <c r="AN129" s="41">
        <f>MOD(ATAN2(COS(AJ129),SIN(AJ129)*COS(AI129)-TAN(AK129)*SIN(AI129)),2*PI())</f>
        <v>3.5441859393185671</v>
      </c>
      <c r="AO129" s="41">
        <f>ASIN(SIN(AK129)*COS(AI129)+COS(AK129)*SIN(AI129)*SIN(AJ129))</f>
        <v>-0.16825750976968298</v>
      </c>
      <c r="AP129" s="41">
        <f>8.794*PI()/648000/AL129</f>
        <v>4.278773530565526E-5</v>
      </c>
      <c r="AQ129" s="52">
        <f>AG127</f>
        <v>-0.21642082724729686</v>
      </c>
      <c r="AR129" s="41"/>
      <c r="AS129" s="52"/>
      <c r="AT129" s="49"/>
      <c r="AU129" s="4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</row>
    <row r="130" spans="1:109" ht="17.25" hidden="1">
      <c r="A130" s="6"/>
      <c r="B130" s="51"/>
      <c r="C130" s="50" t="s">
        <v>18</v>
      </c>
      <c r="D130" s="48"/>
      <c r="E130" s="24"/>
      <c r="F130" s="24"/>
      <c r="G130" s="24"/>
      <c r="H130" s="42"/>
      <c r="I130" s="24"/>
      <c r="J130" s="42"/>
      <c r="K130" s="45"/>
      <c r="L130" s="24"/>
      <c r="M130" s="42"/>
      <c r="N130" s="42"/>
      <c r="O130" s="24"/>
      <c r="P130" s="75"/>
      <c r="Q130" s="50" t="s">
        <v>192</v>
      </c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73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  <c r="AT130" s="73"/>
      <c r="AU130" s="73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</row>
    <row r="131" spans="1:109" ht="17.25" hidden="1">
      <c r="A131" s="6"/>
      <c r="B131" s="24" t="s">
        <v>98</v>
      </c>
      <c r="C131" s="34" t="s">
        <v>99</v>
      </c>
      <c r="D131" s="34" t="s">
        <v>210</v>
      </c>
      <c r="E131" s="34" t="s">
        <v>101</v>
      </c>
      <c r="F131" s="34" t="s">
        <v>102</v>
      </c>
      <c r="G131" s="34" t="s">
        <v>211</v>
      </c>
      <c r="H131" s="48" t="s">
        <v>212</v>
      </c>
      <c r="I131" s="48" t="s">
        <v>7</v>
      </c>
      <c r="J131" s="42" t="s">
        <v>184</v>
      </c>
      <c r="K131" s="48" t="s">
        <v>8</v>
      </c>
      <c r="L131" s="48" t="s">
        <v>23</v>
      </c>
      <c r="M131" s="42" t="s">
        <v>109</v>
      </c>
      <c r="N131" s="63" t="s">
        <v>185</v>
      </c>
      <c r="O131" s="96" t="s">
        <v>215</v>
      </c>
      <c r="P131" s="96" t="s">
        <v>216</v>
      </c>
      <c r="Q131" s="30" t="s">
        <v>102</v>
      </c>
      <c r="R131" s="30" t="s">
        <v>217</v>
      </c>
      <c r="S131" s="30" t="s">
        <v>218</v>
      </c>
      <c r="T131" s="30" t="s">
        <v>101</v>
      </c>
      <c r="U131" s="30" t="s">
        <v>80</v>
      </c>
      <c r="V131" s="30" t="s">
        <v>219</v>
      </c>
      <c r="W131" s="34" t="s">
        <v>220</v>
      </c>
      <c r="X131" s="24" t="s">
        <v>186</v>
      </c>
      <c r="Y131" s="24" t="s">
        <v>187</v>
      </c>
      <c r="Z131" s="48" t="s">
        <v>127</v>
      </c>
      <c r="AA131" s="24" t="s">
        <v>221</v>
      </c>
      <c r="AB131" s="24" t="s">
        <v>222</v>
      </c>
      <c r="AC131" s="24" t="s">
        <v>223</v>
      </c>
      <c r="AD131" s="24" t="s">
        <v>224</v>
      </c>
      <c r="AE131" s="24" t="s">
        <v>225</v>
      </c>
      <c r="AF131" s="24" t="s">
        <v>226</v>
      </c>
      <c r="AG131" s="24" t="s">
        <v>226</v>
      </c>
      <c r="AH131" s="48" t="s">
        <v>227</v>
      </c>
      <c r="AI131" s="15" t="s">
        <v>188</v>
      </c>
      <c r="AJ131" s="15" t="s">
        <v>189</v>
      </c>
      <c r="AK131" s="15" t="s">
        <v>230</v>
      </c>
      <c r="AL131" s="15" t="s">
        <v>231</v>
      </c>
      <c r="AM131" s="15" t="s">
        <v>2</v>
      </c>
      <c r="AN131" s="73" t="s">
        <v>79</v>
      </c>
      <c r="AO131" s="73" t="s">
        <v>13</v>
      </c>
      <c r="AP131" s="15" t="s">
        <v>238</v>
      </c>
      <c r="AQ131" s="73" t="s">
        <v>239</v>
      </c>
      <c r="AR131" s="73" t="s">
        <v>240</v>
      </c>
      <c r="AS131" s="15" t="s">
        <v>242</v>
      </c>
      <c r="AT131" s="15" t="s">
        <v>243</v>
      </c>
      <c r="AU131" s="74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</row>
    <row r="132" spans="1:109" ht="17.25" hidden="1">
      <c r="A132" s="6" t="s">
        <v>258</v>
      </c>
      <c r="B132" s="51">
        <f>B47+MOD(R80+K123+X123,24)/876600</f>
        <v>0.23794940045280727</v>
      </c>
      <c r="C132" s="41">
        <f>MOD((((0.064*B132+31.31)*B132+1717915922.633)*B132+485866.733)/3600,360)*PI()/180</f>
        <v>4.959315862445294</v>
      </c>
      <c r="D132" s="41">
        <f>MOD((((-0.012*B132-0.577)*B132+(99*1296000+1292581.224)*B132)+1287099.804)/3600,360)*PI()/180</f>
        <v>4.9476616373689613</v>
      </c>
      <c r="E132" s="41">
        <f>MOD((((0.011*B132-13.257)*B132+1739527263.137*B132)+335778.877)/3600,360)*PI()/180</f>
        <v>4.0299897641949478</v>
      </c>
      <c r="F132" s="41">
        <f>MOD((((0.019*B132-6.891)*B132+1602961601.328*B132)+1072261.307)/3600,360)*PI()/180</f>
        <v>0.85332857523487871</v>
      </c>
      <c r="G132" s="41">
        <f>MOD((((0.008*B132+7.455)*B132-6962890.539*B132)+450160.28)/3600,360)*PI()/180</f>
        <v>0.43316369291391565</v>
      </c>
      <c r="H132" s="42">
        <f>SIN(G132)*(-171996-174.2*B132)+SIN(2*G132)*(2062+0.2*B132)+SIN(2*(-C132+E132)+G132)*46+SIN(2*(C132-E132))*11+SIN(2*(-C132+E132+G132))*-3+SIN(C132-D132-F132)*-3+SIN(2*(-D132+E132-F132)+G132)*-2+SIN(2*(C132-E132)+G132)+SIN(2*(E132-F132+G132))*(-13187-1.6*B132)+SIN(D132)*(1426-3.4*B132)+SIN(D132+2*(E132-F132+G132))*(-517+1.2*B132)+SIN(-D132+2*(E132-F132+G132))*(217-0.5*B132)+SIN(2*(E132-F132)+G132)*(129+0.1*B132)+SIN(2*(C132-F132))*48+SIN(2*(E132-F132))*-22+SIN(2*D132)*(17-0.1*B132)+SIN(D132+G132)*-15+SIN(2*(D132+E132-F132+G132))*(-16+0.1*B132)+SIN(-D132+G132)*-12+SIN(2*(-C132+F132)+G132)*-6+SIN(-D132+2*(E132-F132)+G132)*-5+SIN(2*(C132-F132)+G132)*4+SIN(2*(E132-F132)+G132)*4+SIN(C132-F132)*-4+SIN(2*(C132-F132)+D132)+SIN(2*(-E132+F132)+G132)-SIN(D132+2*(-E132+F132))+SIN(D132+2*G132)+SIN(-C132+F132+G132)-SIN(D132+2*(E132-F132))+SIN(2*E132+2*G132)*(-2274-0.2*B132)+SIN(C132)*(712+0.1*B132)+SIN(2*E132+G132)*(-386-0.4*B132)+SIN(C132+2*(E132+G132))*-301+SIN(C132-2*F132)*-158+SIN(-C132+2*(E132+G132))*123+SIN(2*F132)*63+SIN(C132+G132)*(63+0.1*B132)+SIN(-C132+G132)*(-58-0.1*B132)+SIN(-C132+2*(E132+F132+G132))*-59+SIN(C132+2*E132+G132)*-51+SIN(2*(E132+F132+G132))*-38+SIN(2*C132)*29+SIN(C132+2*(E132-F132+G132))*29+SIN(2*(C132+E132+G132))*-31+SIN(2*E132)*26+SIN(-C132+2*E132+G132)*21+SIN(-C132+2*F132+G132)*16+SIN(C132-2*F132+G132)*-13+SIN(-C132+2*(E132+F132)+G132)*-10+SIN(C132+D132-2*F132)*-7+SIN(D132+2*(E132+G132))*7+SIN(-D132+2*(E132+G132))*-7</f>
        <v>-84642.75757810488</v>
      </c>
      <c r="I132" s="41">
        <f>(H132+SIN(C132+2*(E132+F132+G132))*-8+SIN(C132+2*F132)*6+SIN(2*(C132+E132-F132+G132))*6+SIN(2*F132+G132)*-6+SIN(2*(E132+F132)+G132)*-7+SIN(C132+2*(E132-F132)+G132)*6+SIN(-2*F132+G132)*-5+SIN(C132-D132)*5+SIN(2*(C132+E132)+G132)*-5+SIN(D132-2*F132)*-4+SIN(C132-2*E132)*4+SIN(F132)*-4+SIN(C132+D132)*-3+SIN(C132+2*E132)*3+SIN(C132-D132+2*(E132+G132))*-3+SIN(-C132-D132+2*(E132+F132+G132))*-3+SIN(-2*C132+G132)*-2+SIN(3*C132+2*(E132+G132))*-3+SIN(-D132+2*(E132+F132+G132))*-3+SIN(C132+D132+2*(E132+G132))*2+SIN(-C132+2*(E132-F132)+G132)*-2+SIN(2*C132+G132)*2+SIN(C132+2*G132)*-2+SIN(3*C132)*2+SIN(2*(E132+G132)+F132)*2+SIN(-C132+2*G132)-SIN(C132-4*F132)+SIN(2*(-C132+E132+F132+G132))+SIN(-C132+2*(E132+2*F132+G132))*-2-SIN(2*(C132-2*F132))+SIN(C132+D132+2*(E132-F132+G132))-SIN(C132+2*(E132+F132)+G132)-SIN(2*(-C132+E132+2*F132+G132))+SIN(-C132+2*(2*E132+G132))+SIN(C132-D132-2*F132)+SIN(2*(C132+E132-F132)+G132)-SIN(2*(C132+E132+F132+G132))-SIN(C132+2*F132+G132)+SIN(2*(2*E132-F132+G132))+SIN(3*C132+2*(E132-F132+G132))-SIN(C132+2*(E132-F132))+SIN(D132+2*E132+G132)+SIN(-C132-D132+2*F132+G132)-SIN(-2*E132+G132)-SIN(2*E132-F132+2*G132)-SIN(D132+2*F132)-SIN(C132+2*(-E132-F132))-SIN(-D132+2*E132+G132)-SIN(C132+D132-2*F132+G132)-SIN(C132+2*(-E132+F132))+SIN(2*(C132+F132))-SIN(2*(E132+2*F132+G132))+SIN(D132+F132))/6480000000*PI()</f>
        <v>-4.1041581712589193E-5</v>
      </c>
      <c r="J132" s="42">
        <f>COS(G132)*(92025+8.9*B132)+COS(2*G132)*(-895+0.5*B132)+COS(2*(-C132+E132)+G132)*-24+COS(2*(-C132+E132+G132))+COS(2*(-D132+E132-F132)+G132)+COS(2*(E132-F132+G132))*(5736-3.1*B132)+COS(D132)*(54-0.1*B132)+COS(D132+2*(E132-F132+G132))*(224-0.6*B132)+COS(-D132+2*(E132-F132+G132))*(-95-0.3*B132)+COS(2*(E132-F132)+G132)*-70+COS(2*(C132-F132))+COS(D132+G132)*9+COS(2*(D132+E132-F132+G132))*7+COS(-D132+G132)*6+COS(2*(-C132+F132)+G132)*3+COS(-D132+2*(E132-F132)+G132)*3+COS(2*(C132-F132)+G132)*-2+COS(D132+2*(E132-F132)+G132)*-2+COS(PI()/2)+COS(PI()/2)+COS(PI()/2)+COS(PI()/2)+COS(PI()/2)+COS(PI()/2)+COS(2*E132+2*G132)*(977-0.5*B132)+COS(C132)*-7+COS(2*E132+G132)*200+COS(C132+2*(E132+G132))*(129-0.1*B132)-COS(C132-2*F132)+COS(-C132+2*(E132+G132))*-53+COS(2*F132)*-2+COS(C132+G132)*-33+COS(-C132+G132)*32+COS(-C132+2*(E132+F132+G132))*26+COS(C132+2*E132+G132)*27+COS(2*(E132+F132+G132))*16-COS(2*C132)+COS(C132+2*(E132-F132+G132))*-12+COS(2*(C132+E132+G132))*13-COS(2*E132)+COS(-C132+2*E132+G132)*-10+COS(-C132+2*F132+G132)*-8+COS(C132-2*F132+G132)*7+COS(-C132+2*(E132+F132)+G132)*5+COS(D132+2*(E132+G132))*-3+COS(-D132+2*(E132+G132))*3</f>
        <v>85674.326505278295</v>
      </c>
      <c r="K132" s="41">
        <f>(J132+COS(C132+2*(E132+F132+G132))*3+COS(2*(C132+E132-F132+G132))*-3+COS(2*F132+G132)*3+COS(2*(E132+F132)+G132)*3+COS(C132+2*(E132-F132)+G132)*-3+COS(-2*F132+G132)*3+COS(2*(C132+E132)+G132)*3+COS(C132-D132+2*(E132+G132))+COS(-C132-D132+2*(E132+F132+G132))+COS(-2*C132+G132)+COS(3*C132+2*(E132+G132))+COS(-D132+2*(E132+F132+G132))-COS(C132+D132+2*(E132+G132))+COS(-C132+2*(E132-F132)+G132)-COS(2*C132+G132)+COS(C132+2*G132)-COS(2*(E132+G132)+F132)-COS(-C132+2*G132)-COS(2*(-C132+E132+F132+G132))+COS(-C132+2*(E132+2*F132+G132))-COS(C132+D132+2*(E132-F132+G132))+COS(C132+2*(E132+F132)+G132)+COS(2*(-C132+E132+2*F132+G132))-COS(2*(C132+E132-F132)+G132))/6480000000*PI()</f>
        <v>4.1534008562661999E-5</v>
      </c>
      <c r="L132" s="41">
        <f>(((((((((((245*B132/100+579)*B132/100+2787)*B132/100+712)*B132/100-3905)*B132/100-24967)*B132/100-5138)*B132/1007+199925)*B132/100-155)*B132/100-468093)*B132/100+158144.8)/360000+23)*PI()/180</f>
        <v>0.40903880457539799</v>
      </c>
      <c r="M132" s="42">
        <v>0</v>
      </c>
      <c r="N132" s="42">
        <v>0</v>
      </c>
      <c r="O132" s="52">
        <f>MOD((-(B132*36525+N132/86400)/36525/38710000+0.000387933)*(B132*36525+N132/86400)/36525*(B132*36525+N132/86400)/36525+360.98564736629*(B132*36525+N132/86400)/36525*36525+280.46061837-AG132*180/PI(),360)*PI()/180</f>
        <v>4.4661028543291925</v>
      </c>
      <c r="P132" s="41">
        <f>MOD(O132+I132*COS(Z132),2*PI())</f>
        <v>4.4660651992106688</v>
      </c>
      <c r="Q132" s="41">
        <f>MOD((((-B132/113065000+1/545868)*B132-0.0018819)*B132+445267.1114034)*B132+297.8501921,360)*PI()/180</f>
        <v>0.85333135842636543</v>
      </c>
      <c r="R132" s="41">
        <f>MOD(((B132/24490000-0.0001536)*B132+35999.0502909)*B132+357.5291092,360)*PI()/180</f>
        <v>4.9476861385421369</v>
      </c>
      <c r="S132" s="41">
        <f>MOD((((-B132/14712000+1/69699)*B132+0.0087414)*B132+477198.8675055)*B132+134.9633964,360)*PI()/180</f>
        <v>4.959323594818426</v>
      </c>
      <c r="T132" s="41">
        <f>MOD((((B132/863310000-1/3526000)*B132-0.0036539)*B132+483202.0175233)*B132+93.272095,360)*PI()/180</f>
        <v>4.0300046064657593</v>
      </c>
      <c r="U132" s="41">
        <f>(-0.0000074*B132-0.002516)*B132+1</f>
        <v>0.99940090032107365</v>
      </c>
      <c r="V132" s="41">
        <f>MOD((((-B132/65194000+1/538841)*B132-0.0015786)*B132+481267.88123421)*B132+218.3164477,360)*PI()/180</f>
        <v>4.4631586722626047</v>
      </c>
      <c r="W132" s="41">
        <f>MOD(131.849*B132+119.75,350)*PI()/180</f>
        <v>2.6376007410073936</v>
      </c>
      <c r="X132" s="41">
        <f>SIN(S132)*6288774+SIN(2*Q132-S132)*1274027+SIN(2*Q132)*658314+SIN(2*S132)*213618+SIN(R132)*-185116*U132+SIN(2*T132)*-114332+SIN(2*(Q132-S132))*58793+SIN(2*Q132-R132-S132)*57066*U132+SIN(2*Q132+S132)*53322+SIN(2*Q132-R132)*45758*U132+SIN(R132-S132)*-40923*U132+SIN(Q132)*-34720+SIN(R132+S132)*-30383*U132+SIN(2*(Q132-T132))*15327+SIN(S132+2*T132)*-12528+SIN(S132-2*T132)*10980+SIN(4*Q132-S132)*10675+SIN(3*S132)*10034+SIN(2*(2*Q132-S132))*8548+SIN(2*Q132+R132-S132)*-7888*U132+SIN(2*Q132+R132)*-6766*U132+SIN(Q132-S132)*-5163+SIN(Q132+R132)*4987*U132+SIN(2*Q132-R132+S132)*4036*U132+SIN(2*(Q132+S132))*3994+SIN(4*Q132)*3861+SIN(2*Q132-3*S132)*3665+SIN(R132-2*S132)*-2689*U132+SIN(2*(Q132+T132)-S132)*-2602+SIN(2*(Q132-S132)-R132)*2390*U132+SIN(Q132+S132)*-2348+SIN(2*(Q132-R132))*2236*U132*U132+SIN(R132+2*S132)*-2120*U132+SIN(2*R132)*-2069*U132*U132+SIN(2*(Q132-R132)-S132)*2048*U132*U132+SIN(2*(Q132-T132)+S132)*-1773+SIN(2*(Q132+T132))*-1595+SIN(4*Q132-R132-S132)*1215*U132+SIN(2*(S132+T132))*-1110+SIN(3*Q132-S132)*-892+SIN(2*Q132+R132+S132)*-810*U132+SIN(4*Q132-R132-2*S132)*759*U132+SIN(2*R132-S132)*-713*U132*U132+SIN(2*(Q132+R132)-S132)*-700*U132*U132+SIN(2*(Q132-S132)+R132)*691*U132+SIN(2*(Q132-T132)-R132)*596*U132+SIN(4*Q132+S132)*549+SIN(4*S132)*537+SIN(4*Q132-R132)*520*U132+SIN(Q132-2*S132)*-487+SIN(2*(Q132-T132)+R132)*-399*U132+SIN(2*(S132-T132))*-381+SIN(Q132+R132+S132)*351*U132+SIN(3*Q132-2*S132)*-340+SIN(4*Q132-3*S132)*330+SIN(2*(Q132+S132)-R132)*327*U132+SIN(2*R132+S132)*-323*U132*U132+SIN(Q132+R132-S132)*299*U132+SIN(2*Q132+3*S132)*294</f>
        <v>-5462520.2365982877</v>
      </c>
      <c r="Y132" s="42">
        <f>SIN(T132)*5128122+SIN(S132+T132)*280602+SIN(S132-T132)*277693+SIN(2*Q132-T132)*173237+SIN(2*Q132-S132+T132)*55413+SIN(2*Q132-S132-T132)*46271+SIN(2*Q132+T132)*32573+SIN(2*S132+T132)*17198+SIN(2*Q132+S132-T132)*9266+SIN(2*S132-T132)*8822+SIN(2*Q132-R132-T132)*8216*U132+SIN(2*(Q132-S132)-T132)*4324+SIN(2*Q132+S132+T132)*4200+SIN(2*Q132+R132-T132)*-3359*U132+SIN(2*Q132-R132-S132+T132)*2463*U132+SIN(2*Q132-R132+T132)*2211*U132+SIN(2*Q132-R132-S132-T132)*2065*U132+SIN(R132-S132-T132)*-1870*U132+SIN(4*Q132-S132-T132)*1828+SIN(R132+T132)*-1794*U132+SIN(3*T132)*-1749+SIN(R132-S132+T132)*-1565*U132+SIN(Q132+T132)*-1491+SIN(R132+S132+T132)*-1475*U132+SIN(R132+S132-T132)*-1410*U132+SIN(R132-T132)*-1344*U132+SIN(Q132-T132)*-1335+SIN(3*S132+T132)*1107+SIN(4*Q132-T132)*1021+SIN(4*Q132-S132+T132)*833</f>
        <v>-3770772.2279824815</v>
      </c>
      <c r="Z132" s="41">
        <f>K132+L132</f>
        <v>0.40908033858396065</v>
      </c>
      <c r="AA132" s="41">
        <f>MOD(V132+(X132+SIN(W132)*3958+SIN(V132-T132)*1962+SIN(MOD(479264.29*B132+53.09,360)*PI()/180)*318)/1000000*PI()/180+I132,2*PI())</f>
        <v>4.367823945177733</v>
      </c>
      <c r="AB132" s="41">
        <f>(Y132+SIN(S132-3*T132)*777+SIN(4*Q132-2*S132+T132)*671+SIN(2*Q132-3*T132)*607+SIN(2*(Q132+S132)-T132)*596+SIN(2*Q132-R132+S132-T132)*491*U132+SIN(2*(Q132-S132)+T132)*-451+SIN(3*S132-T132)*439+SIN(2*(Q132+S132)+T132)*422+SIN(2*Q132-3*S132-T132)*421+SIN(2*Q132+R132-S132+T132)*-366*U132+SIN(2*Q132+R132+T132)*-351*U132+SIN(4*Q132+T132)*331+SIN(2*Q132-R132+S132+T132)*315*U132+SIN(2*(Q132-R132)-T132)*302*U132*U132+SIN(S132+3*T132)*-283+SIN(2*Q132+R132+S132-T132)*-229*U132+SIN(Q132+R132-T132)*223*U132+SIN(Q132+R132+T132)*223*U132+SIN(R132-2*S132-T132)*-220*U132+SIN(2*Q132+R132-S132-T132)*-220*U132+SIN(Q132+S132+T132)*-185+SIN(2*(Q132-S132)-R132-T132)*181*U132+SIN(R132+2*S132+T132)*-177*U132+SIN(4*Q132-2*S132-T132)*176+SIN(4*Q132-R132-S132-T132)*166*U132+SIN(Q132+S132-T132)*-164+SIN(4*Q132+S132-T132)*132+SIN(Q132-S132-T132)*-119+SIN(4*Q132-R132-T132)*115*U132+SIN(2*(Q132-R132)+T132)*107*U132*U132+SIN(V132)*-2235+SIN(MOD(481266.484*B132+313.45,360)*PI()/180)*382+SIN(W132-T132)*175+SIN(W132+T132)*175+SIN(V132-S132)*127+SIN(V132+S132)*-115)*PI()/180000000</f>
        <v>-6.5759577879913031E-2</v>
      </c>
      <c r="AC132" s="42">
        <f>385000.56+(COS(S132)*-20905355+COS(2*Q132-S132)*-3699111+COS(2*Q132)*-2955968+COS(2*S132)*-569925+COS(R132)*48888*U132+COS(2*T132)*-3149+COS(2*(Q132-S132))*246158+COS(2*Q132-R132-S132)*-152138*U132+COS(2*Q132+S132)*-170733+COS(2*Q132-R132)*-204586*U132+COS(R132-S132)*-129620*U132+COS(Q132)*108743+COS(R132+S132)*104755*U132+COS(2*(Q132-T132))*10321+COS(S132-2*T132)*79661+COS(4*Q132-S132)*-34782+COS(3*S132)*-23210+COS(2*(2*Q132-S132))*-21636+COS(2*Q132+R132-S132)*24208*U132+COS(2*Q132+R132)*30824*U132+COS(Q132-S132)*-8379+COS(Q132+R132)*-16675*U132+COS(2*Q132-R132+S132)*-12831*U132+COS(2*(Q132+S132))*-10445+COS(4*Q132)*-11650+COS(2*Q132-3*S132)*14403+COS(R132-2*S132)*-7003*U132+COS(2*(Q132-S132)-R132)*10056*U132+COS(Q132+S132)*6322+COS(2*(Q132-R132))*-9884*U132*U132+COS(R132+2*S132)*5751*U132+COS(2*(Q132-R132)-S132)*-4950*U132*U132+COS(2*(Q132-T132)+S132)*4130+COS(4*Q132-R132-S132)*-3958*U132+COS(3*Q132-S132)*3258+COS(2*Q132+R132+S132)*2616*U132+COS(4*Q132-R132-2*S132)*-1897*U132+COS(2*R132-S132)*-2117*U132*U132+COS(2*(Q132+R132)-S132)*2354*U132*U132+COS(4*Q132+S132)*-1423+COS(4*S132)*-1117+COS(4*Q132-R132)*-1571*U132+COS(Q132-2*S132)*-1739+COS(2*(S132-T132))*-4421+COS(2*R132+S132)*1165*U132*U132+COS(2*(Q132-T132)-S132)*8752)/1000</f>
        <v>384308.94219144277</v>
      </c>
      <c r="AD132" s="41">
        <f>IF(2*ATAN((-SIN(AB132)*SIN(Z132)+COS(AB132)*COS(Z132)*SIN(AA132))/(COS(AE132)+COS(AB132)*COS(AA132)))&lt;0,2*ATAN((-SIN(AB132)*SIN(Z132)+COS(AB132)*COS(Z132)*SIN(AA132))/(COS(AE132)+COS(AB132)*COS(AA132)))+2*PI(),2*ATAN((-SIN(AB132)*SIN(Z132)+COS(AB132)*COS(Z132)*SIN(AA132))/(COS(AE132)+COS(AB132)*COS(AA132))))</f>
        <v>4.3289607801320029</v>
      </c>
      <c r="AE132" s="41">
        <f>ASIN(SIN(AB132)*COS(Z132)+COS(AB132)*SIN(Z132)*SIN(AA132))</f>
        <v>-0.4487802883928787</v>
      </c>
      <c r="AF132" s="41">
        <f>ASIN(6378.14/AC132)</f>
        <v>1.6597149155948919E-2</v>
      </c>
      <c r="AG132" s="52">
        <f>AG127</f>
        <v>-0.21642082724729686</v>
      </c>
      <c r="AH132" s="8">
        <f>AH127</f>
        <v>0.77680705866072952</v>
      </c>
      <c r="AI132" s="8">
        <f>AI127</f>
        <v>0.6265339810363213</v>
      </c>
      <c r="AJ132" s="17">
        <f>AJ127</f>
        <v>0.89535390627309097</v>
      </c>
      <c r="AK132" s="8">
        <f>MOD(P132-AD132,2*PI())</f>
        <v>0.13710441907866588</v>
      </c>
      <c r="AL132" s="8">
        <f>COS(AE132)*SIN(AK132)</f>
        <v>0.12314128176075571</v>
      </c>
      <c r="AM132" s="8">
        <f>COS(AE132)*COS(AK132)-AI132*SIN(AF132)</f>
        <v>0.88212390904157667</v>
      </c>
      <c r="AN132" s="8">
        <f>SIN(AE132)-AH132*SIN(AF132)</f>
        <v>-0.44675911575989163</v>
      </c>
      <c r="AO132" s="8">
        <f>SQRT(AL132*AL132+AM132*AM132+AN132*AN132)</f>
        <v>0.99644371325782066</v>
      </c>
      <c r="AP132" s="17">
        <f>MOD(IF(AM132&lt;0,(ATAN(AL132/AM132))+PI(),ATAN(AL132/AM132)),2*PI())</f>
        <v>0.13870003325159788</v>
      </c>
      <c r="AQ132" s="8">
        <f>MOD(P132-AP132,2*PI())</f>
        <v>4.3273651659590708</v>
      </c>
      <c r="AR132" s="8">
        <f>ASIN(AN132/AO132)</f>
        <v>-0.4649225679740171</v>
      </c>
      <c r="AS132" s="17">
        <f>MOD(ATAN2(COS(AK132)*SIN(AJ132)-TAN(AR132)*COS(AJ132),SIN(AK132))*180/PI()+180,360)</f>
        <v>187.16833999000943</v>
      </c>
      <c r="AT132" s="104">
        <f>ASIN(SIN(AJ132)*SIN(AR132)+COS(AJ132)*COS(AR132)*COS(AK132))*180/PI()</f>
        <v>11.754798594082212</v>
      </c>
      <c r="AU132" s="17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</row>
    <row r="133" spans="1:109" ht="17.25" hidden="1">
      <c r="A133" s="6"/>
      <c r="B133" s="24" t="s">
        <v>98</v>
      </c>
      <c r="C133" s="34" t="s">
        <v>99</v>
      </c>
      <c r="D133" s="34" t="s">
        <v>210</v>
      </c>
      <c r="E133" s="34" t="s">
        <v>101</v>
      </c>
      <c r="F133" s="34" t="s">
        <v>102</v>
      </c>
      <c r="G133" s="34" t="s">
        <v>211</v>
      </c>
      <c r="H133" s="48" t="s">
        <v>212</v>
      </c>
      <c r="I133" s="41" t="s">
        <v>7</v>
      </c>
      <c r="J133" s="42" t="s">
        <v>184</v>
      </c>
      <c r="K133" s="41" t="s">
        <v>8</v>
      </c>
      <c r="L133" s="41" t="s">
        <v>23</v>
      </c>
      <c r="M133" s="42" t="s">
        <v>109</v>
      </c>
      <c r="N133" s="63" t="s">
        <v>185</v>
      </c>
      <c r="O133" s="96" t="s">
        <v>215</v>
      </c>
      <c r="P133" s="97" t="s">
        <v>216</v>
      </c>
      <c r="Q133" s="41" t="s">
        <v>110</v>
      </c>
      <c r="R133" s="41" t="s">
        <v>111</v>
      </c>
      <c r="S133" s="41" t="s">
        <v>111</v>
      </c>
      <c r="T133" s="41" t="s">
        <v>112</v>
      </c>
      <c r="U133" s="41" t="s">
        <v>113</v>
      </c>
      <c r="V133" s="41" t="s">
        <v>114</v>
      </c>
      <c r="W133" s="41" t="s">
        <v>115</v>
      </c>
      <c r="X133" s="41" t="s">
        <v>116</v>
      </c>
      <c r="Y133" s="41" t="s">
        <v>117</v>
      </c>
      <c r="Z133" s="41" t="s">
        <v>118</v>
      </c>
      <c r="AA133" s="41" t="s">
        <v>119</v>
      </c>
      <c r="AB133" s="41" t="s">
        <v>120</v>
      </c>
      <c r="AC133" s="41" t="s">
        <v>121</v>
      </c>
      <c r="AD133" s="41" t="s">
        <v>122</v>
      </c>
      <c r="AE133" s="41" t="s">
        <v>123</v>
      </c>
      <c r="AF133" s="41" t="s">
        <v>124</v>
      </c>
      <c r="AG133" s="48" t="s">
        <v>227</v>
      </c>
      <c r="AH133" s="41" t="s">
        <v>229</v>
      </c>
      <c r="AI133" s="41" t="s">
        <v>127</v>
      </c>
      <c r="AJ133" s="41" t="s">
        <v>232</v>
      </c>
      <c r="AK133" s="41" t="s">
        <v>233</v>
      </c>
      <c r="AL133" s="41" t="s">
        <v>190</v>
      </c>
      <c r="AM133" s="41" t="s">
        <v>234</v>
      </c>
      <c r="AN133" s="41" t="s">
        <v>235</v>
      </c>
      <c r="AO133" s="41" t="s">
        <v>236</v>
      </c>
      <c r="AP133" s="41" t="s">
        <v>191</v>
      </c>
      <c r="AQ133" s="41" t="s">
        <v>227</v>
      </c>
      <c r="AR133" s="41"/>
      <c r="AS133" s="41"/>
      <c r="AT133" s="41"/>
      <c r="AU133" s="4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</row>
    <row r="134" spans="1:109" ht="17.25" hidden="1">
      <c r="A134" s="6" t="s">
        <v>259</v>
      </c>
      <c r="B134" s="51">
        <f>B132</f>
        <v>0.23794940045280727</v>
      </c>
      <c r="C134" s="41">
        <f>MOD((((0.064*B134+31.31)*B134+1717915922.633)*B134+485866.733)/3600,360)*PI()/180</f>
        <v>4.959315862445294</v>
      </c>
      <c r="D134" s="41">
        <f>MOD((((-0.012*B134-0.577)*B134+(99*1296000+1292581.224)*B134)+1287099.804)/3600,360)*PI()/180</f>
        <v>4.9476616373689613</v>
      </c>
      <c r="E134" s="41">
        <f>MOD((((0.011*B134-13.257)*B134+1739527263.137*B134)+335778.877)/3600,360)*PI()/180</f>
        <v>4.0299897641949478</v>
      </c>
      <c r="F134" s="41">
        <f>MOD((((0.019*B134-6.891)*B134+1602961601.328*B134)+1072261.307)/3600,360)*PI()/180</f>
        <v>0.85332857523487871</v>
      </c>
      <c r="G134" s="41">
        <f>MOD((((0.008*B134+7.455)*B134-6962890.539*B134)+450160.28)/3600,360)*PI()/180</f>
        <v>0.43316369291391565</v>
      </c>
      <c r="H134" s="42">
        <f>SIN(G134)*(-171996-174.2*B134)+SIN(2*G134)*(2062+0.2*B134)+SIN(2*(-C134+E134)+G134)*46+SIN(2*(C134-E134))*11+SIN(2*(-C134+E134+G134))*-3+SIN(C134-D134-F134)*-3+SIN(2*(-D134+E134-F134)+G134)*-2+SIN(2*(C134-E134)+G134)+SIN(2*(E134-F134+G134))*(-13187-1.6*B134)+SIN(D134)*(1426-3.4*B134)+SIN(D134+2*(E134-F134+G134))*(-517+1.2*B134)+SIN(-D134+2*(E134-F134+G134))*(217-0.5*B134)+SIN(2*(E134-F134)+G134)*(129+0.1*B134)+SIN(2*(C134-F134))*48+SIN(2*(E134-F134))*-22+SIN(2*D134)*(17-0.1*B134)+SIN(D134+G134)*-15+SIN(2*(D134+E134-F134+G134))*(-16+0.1*B134)+SIN(-D134+G134)*-12+SIN(2*(-C134+F134)+G134)*-6+SIN(-D134+2*(E134-F134)+G134)*-5+SIN(2*(C134-F134)+G134)*4+SIN(2*(E134-F134)+G134)*4+SIN(C134-F134)*-4+SIN(2*(C134-F134)+D134)+SIN(2*(-E134+F134)+G134)-SIN(D134+2*(-E134+F134))+SIN(D134+2*G134)+SIN(-C134+F134+G134)-SIN(D134+2*(E134-F134))+SIN(2*E134+2*G134)*(-2274-0.2*B134)+SIN(C134)*(712+0.1*B134)+SIN(2*E134+G134)*(-386-0.4*B134)+SIN(C134+2*(E134+G134))*-301+SIN(C134-2*F134)*-158+SIN(-C134+2*(E134+G134))*123+SIN(2*F134)*63+SIN(C134+G134)*(63+0.1*B134)+SIN(-C134+G134)*(-58-0.1*B134)+SIN(-C134+2*(E134+F134+G134))*-59+SIN(C134+2*E134+G134)*-51+SIN(2*(E134+F134+G134))*-38+SIN(2*C134)*29+SIN(C134+2*(E134-F134+G134))*29+SIN(2*(C134+E134+G134))*-31+SIN(2*E134)*26+SIN(-C134+2*E134+G134)*21+SIN(-C134+2*F134+G134)*16+SIN(C134-2*F134+G134)*-13+SIN(-C134+2*(E134+F134)+G134)*-10+SIN(C134+D134-2*F134)*-7+SIN(D134+2*(E134+G134))*7+SIN(-D134+2*(E134+G134))*-7</f>
        <v>-84642.75757810488</v>
      </c>
      <c r="I134" s="41">
        <f>(H134+SIN(C134+2*(E134+F134+G134))*-8+SIN(C134+2*F134)*6+SIN(2*(C134+E134-F134+G134))*6+SIN(2*F134+G134)*-6+SIN(2*(E134+F134)+G134)*-7+SIN(C134+2*(E134-F134)+G134)*6+SIN(-2*F134+G134)*-5+SIN(C134-D134)*5+SIN(2*(C134+E134)+G134)*-5+SIN(D134-2*F134)*-4+SIN(C134-2*E134)*4+SIN(F134)*-4+SIN(C134+D134)*-3+SIN(C134+2*E134)*3+SIN(C134-D134+2*(E134+G134))*-3+SIN(-C134-D134+2*(E134+F134+G134))*-3+SIN(-2*C134+G134)*-2+SIN(3*C134+2*(E134+G134))*-3+SIN(-D134+2*(E134+F134+G134))*-3+SIN(C134+D134+2*(E134+G134))*2+SIN(-C134+2*(E134-F134)+G134)*-2+SIN(2*C134+G134)*2+SIN(C134+2*G134)*-2+SIN(3*C134)*2+SIN(2*(E134+G134)+F134)*2+SIN(-C134+2*G134)-SIN(C134-4*F134)+SIN(2*(-C134+E134+F134+G134))+SIN(-C134+2*(E134+2*F134+G134))*-2-SIN(2*(C134-2*F134))+SIN(C134+D134+2*(E134-F134+G134))-SIN(C134+2*(E134+F134)+G134)-SIN(2*(-C134+E134+2*F134+G134))+SIN(-C134+2*(2*E134+G134))+SIN(C134-D134-2*F134)+SIN(2*(C134+E134-F134)+G134)-SIN(2*(C134+E134+F134+G134))-SIN(C134+2*F134+G134)+SIN(2*(2*E134-F134+G134))+SIN(3*C134+2*(E134-F134+G134))-SIN(C134+2*(E134-F134))+SIN(D134+2*E134+G134)+SIN(-C134-D134+2*F134+G134)-SIN(-2*E134+G134)-SIN(2*E134-F134+2*G134)-SIN(D134+2*F134)-SIN(C134+2*(-E134-F134))-SIN(-D134+2*E134+G134)-SIN(C134+D134-2*F134+G134)-SIN(C134+2*(-E134+F134))+SIN(2*(C134+F134))-SIN(2*(E134+2*F134+G134))+SIN(D134+F134))*PI()/6480000000</f>
        <v>-4.1041581712589199E-5</v>
      </c>
      <c r="J134" s="42">
        <f>COS(G134)*(92025+8.9*B134)+COS(2*G134)*(-895+0.5*B134)+COS(2*(-C134+E134)+G134)*-24+COS(2*(-C134+E134+G134))+COS(2*(-D134+E134-F134)+G134)+COS(2*(E134-F134+G134))*(5736-3.1*B134)+COS(D134)*(54-0.1*B134)+COS(D134+2*(E134-F134+G134))*(224-0.6*B134)+COS(-D134+2*(E134-F134+G134))*(-95-0.3*B134)+COS(2*(E134-F134)+G134)*-70+COS(2*(C134-F134))+COS(D134+G134)*9+COS(2*(D134+E134-F134+G134))*7+COS(-D134+G134)*6+COS(2*(-C134+F134)+G134)*3+COS(-D134+2*(E134-F134)+G134)*3+COS(2*(C134-F134)+G134)*-2+COS(D134+2*(E134-F134)+G134)*-2+COS(PI()/2)+COS(PI()/2)+COS(PI()/2)+COS(PI()/2)+COS(PI()/2)+COS(PI()/2)+COS(2*E134+2*G134)*(977-0.5*B134)+COS(C134)*-7+COS(2*E134+G134)*200+COS(C134+2*(E134+G134))*(129-0.1*B134)-COS(C134-2*F134)+COS(-C134+2*(E134+G134))*-53+COS(2*F134)*-2+COS(C134+G134)*-33+COS(-C134+G134)*32+COS(-C134+2*(E134+F134+G134))*26+COS(C134+2*E134+G134)*27+COS(2*(E134+F134+G134))*16-COS(2*C134)+COS(C134+2*(E134-F134+G134))*-12+COS(2*(C134+E134+G134))*13-COS(2*E134)+COS(-C134+2*E134+G134)*-10+COS(-C134+2*F134+G134)*-8+COS(C134-2*F134+G134)*7+COS(-C134+2*(E134+F134)+G134)*5+COS(D134+2*(E134+G134))*-3+COS(-D134+2*(E134+G134))*3</f>
        <v>85674.326505278295</v>
      </c>
      <c r="K134" s="41">
        <f>(J134+COS(C134+2*(E134+F134+G134))*3+COS(2*(C134+E134-F134+G134))*-3+COS(2*F134+G134)*3+COS(2*(E134+F134)+G134)*3+COS(C134+2*(E134-F134)+G134)*-3+COS(-2*F134+G134)*3+COS(2*(C134+E134)+G134)*3+COS(C134-D134+2*(E134+G134))+COS(-C134-D134+2*(E134+F134+G134))+COS(-2*C134+G134)+COS(3*C134+2*(E134+G134))+COS(-D134+2*(E134+F134+G134))-COS(C134+D134+2*(E134+G134))+COS(-C134+2*(E134-F134)+G134)-COS(2*C134+G134)+COS(C134+2*G134)-COS(2*(E134+G134)+F134)-COS(-C134+2*G134)-COS(2*(-C134+E134+F134+G134))+COS(-C134+2*(E134+2*F134+G134))-COS(C134+D134+2*(E134-F134+G134))+COS(C134+2*(E134+F134)+G134)+COS(2*(-C134+E134+2*F134+G134))-COS(2*(C134+E134-F134)+G134))*PI()/6480000000</f>
        <v>4.1534008562661999E-5</v>
      </c>
      <c r="L134" s="41">
        <f>(((((((((((245*B134/100+579)*B134/100+2787)*B134/100+712)*B134/100-3905)*B134/100-24967)*B134/100-5138)*B134/1007+199925)*B134/100-155)*B134/100-468093)*B134/100+158144.8)/360000+23)*PI()/180</f>
        <v>0.40903880457539799</v>
      </c>
      <c r="M134" s="42">
        <v>0</v>
      </c>
      <c r="N134" s="42">
        <v>0</v>
      </c>
      <c r="O134" s="52">
        <f>MOD((-(B134*36525+N134/86400)/36525/38710000+0.000387933)*(B134*36525+N134/86400)/36525*(B134*36525+N134/86400)/36525+360.98564736629*(B134*36525+N134/86400)/36525*36525+280.46061837-AQ134*180/PI(),360)*PI()/180</f>
        <v>4.4661028543291925</v>
      </c>
      <c r="P134" s="41">
        <f>MOD(O134+I134*COS(Z134),2*PI())</f>
        <v>4.4661433253581295</v>
      </c>
      <c r="Q134" s="41">
        <f>B134/10</f>
        <v>2.3794940045280728E-2</v>
      </c>
      <c r="R134" s="42">
        <f>175347046+3341656*COS(4.6692568+6283.07585*Q134)+34894*COS(4.6261+12566.1517*Q134)+3497*COS(2.7441+5753.3849*Q134)+3418*COS(2.8289+3.5231*Q134)+3136*COS(3.6277+77713.7715*Q134)+2676*COS(4.4181+7860.4194*Q134)+2343*COS(6.1352+3930.2097*Q134)+1324*COS(0.7425+11506.7698*Q134)+1273*COS(2.0371+529.691*Q134)+1199*COS(1.1096+1577.3435*Q134)+990*COS(5.233+5884.927*Q134)+902*COS(2.045+26.298*Q134)+857*COS(3.508+398.149*Q134)+780*COS(1.179+5223.694*Q134)+753*COS(2.533+5507.553*Q134)+505*COS(4.583+18849.228*Q134)+492*COS(4.205+775.523*Q134)+357*COS(2.92+0.067*Q134)+317*COS(5.849+11790.629*Q134)+284*COS(1.899+796.298*Q134)+271*COS(0.315+10977.079*Q134)+243*COS(0.345+5486.778*Q134)+206*COS(4.806+2544.314*Q134)+205*COS(1.869+5573.143*Q134)+202*COS(2.458+6069.777*Q134)+156*COS(0.833+213.299*Q134)+132*COS(3.411+2942.463*Q134)+126*COS(1.083+20.775*Q134)+115*COS(0.645+0.98*Q134)+103*COS(0.636+4694.003*Q134)+102*COS(0.976+15720.839*Q134)+102*COS(4.267+7.114*Q134)+99*COS(6.21+2146.17*Q134)+98*COS(0.68+155.42*Q134)+86*COS(5.98+161000.69*Q134)+85*COS(1.3+6275.96*Q134)+85*COS(3.67+71430.7*Q134)+80*COS(1.81+17260.15*Q134)+79*COS(3.04+12036.46*Q134)+75*COS(1.76+5088.63*Q134)+74*COS(3.5+3154.69*Q134)+74*COS(4.68+801.82*Q134)+70*COS(0.83+9437.76*Q134)+62*COS(3.98+8827.39*Q134)+61*COS(1.82+7084.9*Q134)+57*COS(2.78+6286.6*Q134)+56*COS(4.39+14143.5*Q134)+56*COS(3.47+6279.55*Q134)+52*COS(0.19+12139.55*Q134)+52*COS(1.33+1748.02*Q134)+51*COS(0.28+5856.48*Q134)+49*COS(0.49+1194.45*Q134)+41*COS(5.37+8429.24*Q134)+41*COS(2.4+19651.05*Q134)</f>
        <v>172081240.94629708</v>
      </c>
      <c r="S134" s="42">
        <f>R134+39*COS(6.17+10447.39*Q134)+37*COS(6.04+10213.29*Q134)+37*COS(2.57+1059.38*Q134)+36*COS(1.71+2352.87*Q134)+36*COS(1.78+6812.77*Q134)+33*COS(0.59+17789.85*Q134)+30*COS(0.44+83996.85*Q134)+30*COS(2.74+1349.87*Q134)+25*COS(3.16+4690.48*Q134)</f>
        <v>172081143.95385212</v>
      </c>
      <c r="T134" s="42">
        <f>628331966747+206059*COS(2.678235+6283.07585*Q134)+4303*COS(2.6351+12566.1517*Q134)+425*COS(1.59+3.523*Q134)+119*COS(5.796+26.298*Q134)+109*COS(2.966+1577.344*Q134)+93*COS(2.59+18849.23*Q134)+72*COS(1.14+529.69*Q134)+68*COS(1.87+398.15*Q134)+67*COS(4.41+5507.55*Q134)+59*COS(2.89+5223.69*Q134)+56*COS(2.17+155.42*Q134)+45*COS(0.4+796.3*Q134)+36*COS(0.47+775.52*Q134)+29*COS(2.65+7.11*Q134)+21*COS(5.34+0.98*Q134)+19*COS(1.85+5486.78*Q134)+19*COS(4.97+213.3*Q134)+17*COS(2.99+6275.96*Q134)+16*COS(0.03+2544.31*Q134)+16*COS(1.43+2146.17*Q134)+15*COS(1.21+10977.08*Q134)+12*COS(2.83+1748.02*Q134)+12*COS(3.26+5088.63*Q134)+12*COS(5.27+1194.45*Q134)+12*COS(2.08+4694*Q134)+11*COS(0.77+553.57*Q134)+10*COS(1.3+6286.6*Q134)+10*COS(4.24+1349.87*Q134)+9*COS(2.7+242.73*Q134)+9*COS(5.64+951.72*Q134)+8*COS(5.3+2352.87*Q134)+6*COS(2.65+9437.76*Q134)+6*COS(4.67+4690.48*Q134)</f>
        <v>628332008760.63977</v>
      </c>
      <c r="U134" s="41">
        <f>52919+8720*COS(1.0721+6283.0758*Q134)+309*COS(0.867+12566.152*Q134)+27*COS(0.05+3.52*Q134)+16*COS(5.19+26.3*Q134)+16*COS(3.68+155.42*Q134)+10*COS(0.76+18849.23*Q134)+9*COS(2.06+77713.77*Q134)+7*COS(0.83+775.52*Q134)+5*COS(4.66+1577.34*Q134)+4*COS(1.03+7.11*Q134)+4*COS(3.44+5573.14*Q134)+3*COS(5.14+796.3*Q134)+3*COS(6.05+5507.55*Q134)+3*COS(1.19+242.73*Q134)+3*COS(6.12+529.69*Q134)+3*COS(0.31+398.15*Q134)+3*COS(2.28+553.57*Q134)+2*COS(4.38+5223.69*Q134)+2*COS(3.75+0.98*Q134)</f>
        <v>61422.1267152281</v>
      </c>
      <c r="V134" s="41">
        <f>289*COS(5.844+6283.076*Q134)+35+17*COS(5.49+12566.15*Q134)+3*COS(5.2+155.42*Q134)+COS(4.72+3.52*Q134)+COS(5.3+18849.23*Q134)+COS(5.97+242.73*Q134)</f>
        <v>-29.092498507715192</v>
      </c>
      <c r="W134" s="41">
        <f>114*COS(3.142)+8*COS(4.13+6283.08*Q134)+COS(3.84+12566.15*Q134)</f>
        <v>-121.32885705343202</v>
      </c>
      <c r="X134" s="41">
        <f>COS(3.14)</f>
        <v>-0.9999987317275395</v>
      </c>
      <c r="Y134" s="41">
        <f>280*COS(3.199+84334.662*Q134)+102*COS(5.422+5507.553*Q134)+80*COS(3.88+5223.69*Q134)+44*COS(3.7+2352.87*Q134)+32*COS(4+1577.34*Q134)</f>
        <v>65.174432962747971</v>
      </c>
      <c r="Z134" s="41">
        <f>9*COS(3.9+5507.55*Q134)+6*COS(1.73+5223.69*Q134)</f>
        <v>-3.3085306801502004</v>
      </c>
      <c r="AA134" s="42">
        <f>100013989+1670700*COS(3.0984635+6283.07585*Q134)+13956*COS(3.05525+12566.1517*Q134)+3084*COS(5.1985+77713.7715*Q134)+1628*COS(1.1739+5753.3849*Q134)+1576*COS(2.8469+7860.4194*Q134)+925*COS(5.453+11506.77*Q134)+542*COS(4.564+3930.21*Q134)+472*COS(3.661+5884.927*Q134)+346*COS(0.964+5507.553*Q134)+329*COS(5.9+5223.694*Q134)+307*COS(0.299+5573.143*Q134)+243*COS(4.273+11790.629*Q134)+212*COS(5.847+1577.344*Q134)+186*COS(5.022+10977.079*Q134)+175*COS(3.012+18849.228*Q134)+110*COS(5.055+5486.778*Q134)+98*COS(0.89+6069.78*Q134)+86*COS(5.69+15720.84*Q134)+86*COS(1.27+161000.69*Q134)+65*COS(0.27+17260.15*Q134)+63*COS(0.92+529.69*Q134)+57*COS(2.01+83996.85*Q134)+56*COS(5.24+71430.7*Q134)+49*COS(3.25+2544.31*Q134)+47*COS(2.58+775.52*Q134)+45*COS(5.54+9437.76*Q134)+43*COS(6.01+6275.96*Q134)+39*COS(5.36+4694*Q134)+38*COS(2.39+8827.39*Q134)+37*COS(0.83+19651.05*Q134)+37*COS(4.9+12139.55*Q134)+36*COS(1.67+12036.46*Q134)+35*COS(1.84+2942.46*Q134)+33*COS(0.24+7084.9*Q134)+32*COS(0.18+5088.63*Q134)+32*COS(1.78+398.15*Q134)+28*COS(1.21+6286.6*Q134)+28*COS(1.9+6279.55*Q134)+26*COS(4.59+10447.39*Q134)</f>
        <v>99638043.097801983</v>
      </c>
      <c r="AB134" s="42">
        <f>103019*COS(1.10749+6283.07585*Q134)+1721*COS(1.0644+12566.1517*Q134)+702*COS(3.142)+32*COS(1.02+18849.23*Q134)+31*COS(2.84+5507.55*Q134)+25*COS(1.32+5223.69*Q134)+18*COS(1.42+1577.34*Q134)+10*COS(5.91+10977.08*Q134)+9*COS(1.42+6275.96*Q134)+9*COS(0.27+5486.78*Q134)</f>
        <v>100669.50699339123</v>
      </c>
      <c r="AC134" s="41">
        <f>4359*COS(5.7846+6283.0758*Q134)+124*COS(5.579+12566.152*Q134)+12*COS(3.14)+9*COS(3.63+77713.77*Q134)+6*COS(1.87+5573.14*Q134)+3*COS(5.47+18849.23*Q134)</f>
        <v>-1079.1815988187118</v>
      </c>
      <c r="AD134" s="41">
        <f>145*COS(4.273+6283.076*Q134)+7*COS(3.92+12566.15*Q134)</f>
        <v>-141.54101107742682</v>
      </c>
      <c r="AE134" s="41">
        <f>4*COS(2.56+6283.08*Q134)</f>
        <v>1.1886968553756427</v>
      </c>
      <c r="AF134" s="52">
        <f>MOD((((((X134*Q134+W134)*Q134+V134)*Q134+U134)*Q134+T134)*Q134+S134)/100000000+PI(),2*PI())</f>
        <v>3.5771818384877747</v>
      </c>
      <c r="AG134" s="41">
        <f>AF134+(-0.00031*B134-1.397)*B134*PI()/180</f>
        <v>3.5713797904585478</v>
      </c>
      <c r="AH134" s="52">
        <f>MOD((((((X134*Q134+W134)*Q134+V134)*Q134+U134)*Q134+T134)*Q134+S134)/100000000-0.09033*PI()/648000+PI(),2*PI())</f>
        <v>3.5771814005555882</v>
      </c>
      <c r="AI134" s="41">
        <f>L134+K134</f>
        <v>0.40908033858396065</v>
      </c>
      <c r="AJ134" s="41">
        <f>MOD(AH134+I134-20.4898/AL134*PI()/648000,2*PI())</f>
        <v>3.5770406631518621</v>
      </c>
      <c r="AK134" s="41">
        <f>-((Z134*Q134+Y134)/100000000)+0.03916*(COS(AG134)-SIN(AG134))*PI()/648000</f>
        <v>-7.4443636575362036E-7</v>
      </c>
      <c r="AL134" s="41">
        <f>((((AE134*Q134+AD134)*Q134+AC134)*Q134+AB134)*Q134+AA134)/100000000</f>
        <v>0.99640437909746993</v>
      </c>
      <c r="AM134" s="41">
        <f>959.63/AL134*PI()/648000</f>
        <v>4.6692062235269768E-3</v>
      </c>
      <c r="AN134" s="41">
        <f>MOD(ATAN2(COS(AJ134),SIN(AJ134)*COS(AI134)-TAN(AK134)*SIN(AI134)),2*PI())</f>
        <v>3.5450237658485837</v>
      </c>
      <c r="AO134" s="41">
        <f>ASIN(SIN(AK134)*COS(AI134)+COS(AK134)*SIN(AI134)*SIN(AJ134))</f>
        <v>-0.1685822678076114</v>
      </c>
      <c r="AP134" s="41">
        <f>8.794*PI()/648000/AL134</f>
        <v>4.2788365859441908E-5</v>
      </c>
      <c r="AQ134" s="52">
        <f>AQ129</f>
        <v>-0.21642082724729686</v>
      </c>
      <c r="AR134" s="41"/>
      <c r="AS134" s="52"/>
      <c r="AT134" s="49"/>
      <c r="AU134" s="4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</row>
    <row r="135" spans="1:109" ht="17.25" hidden="1">
      <c r="A135" s="2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6"/>
      <c r="AI135" s="76"/>
      <c r="AJ135" s="76"/>
      <c r="AK135" s="76"/>
      <c r="AL135" s="76"/>
      <c r="AM135" s="76"/>
      <c r="AN135" s="76"/>
      <c r="AO135" s="76"/>
      <c r="AP135" s="76"/>
      <c r="AQ135" s="76"/>
      <c r="AR135" s="76"/>
      <c r="AS135" s="78"/>
      <c r="AT135" s="78"/>
      <c r="AU135" s="78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</row>
    <row r="136" spans="1:109" ht="17.25" hidden="1">
      <c r="A136" s="2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76"/>
      <c r="AI136" s="76"/>
      <c r="AJ136" s="76"/>
      <c r="AK136" s="76"/>
      <c r="AL136" s="76"/>
      <c r="AM136" s="76"/>
      <c r="AN136" s="76"/>
      <c r="AO136" s="76"/>
      <c r="AP136" s="76"/>
      <c r="AQ136" s="79"/>
      <c r="AR136" s="76"/>
      <c r="AS136" s="78"/>
      <c r="AT136" s="78"/>
      <c r="AU136" s="78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</row>
    <row r="137" spans="1:109" ht="17.25" hidden="1">
      <c r="A137" s="2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/>
      <c r="AI137" s="76"/>
      <c r="AJ137" s="76"/>
      <c r="AK137" s="76"/>
      <c r="AL137" s="76"/>
      <c r="AM137" s="76"/>
      <c r="AN137" s="76"/>
      <c r="AO137" s="76"/>
      <c r="AP137" s="76"/>
      <c r="AQ137" s="76"/>
      <c r="AR137" s="76"/>
      <c r="AS137" s="78"/>
      <c r="AT137" s="78"/>
      <c r="AU137" s="78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</row>
    <row r="138" spans="1:109" ht="17.25" hidden="1"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</row>
    <row r="139" spans="1:109" ht="17.25" hidden="1"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</row>
    <row r="140" spans="1:109" ht="17.25"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</row>
    <row r="141" spans="1:109" ht="17.25"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</row>
    <row r="142" spans="1:109" ht="17.25"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</row>
    <row r="143" spans="1:109" ht="17.25"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</row>
    <row r="144" spans="1:109" ht="17.25"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</row>
    <row r="145" spans="52:109" ht="17.25"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</row>
    <row r="146" spans="52:109" ht="17.25"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</row>
    <row r="147" spans="52:109" ht="17.25"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</row>
    <row r="148" spans="52:109" ht="17.25"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</row>
    <row r="149" spans="52:109" ht="17.25"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</row>
    <row r="150" spans="52:109" ht="17.25"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</row>
    <row r="151" spans="52:109" ht="17.25"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</row>
    <row r="152" spans="52:109" ht="17.25"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</row>
    <row r="153" spans="52:109" ht="17.25"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</row>
    <row r="154" spans="52:109" ht="17.25"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</row>
    <row r="155" spans="52:109" ht="17.25"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</row>
    <row r="156" spans="52:109" ht="17.25"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</row>
    <row r="157" spans="52:109" ht="17.25"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</row>
    <row r="158" spans="52:109" ht="17.25"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</row>
    <row r="159" spans="52:109" ht="17.25"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</row>
    <row r="160" spans="52:109" ht="17.25"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</row>
    <row r="161" spans="52:109" ht="17.25"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</row>
    <row r="162" spans="52:109" ht="17.25"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</row>
    <row r="163" spans="52:109" ht="17.25"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</row>
    <row r="164" spans="52:109" ht="17.25"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</row>
    <row r="165" spans="52:109" ht="17.25"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</row>
    <row r="166" spans="52:109" ht="17.25"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</row>
    <row r="167" spans="52:109" ht="17.25"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</row>
    <row r="168" spans="52:109" ht="17.25"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</row>
    <row r="169" spans="52:109" ht="17.25"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</row>
    <row r="170" spans="52:109" ht="17.25"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</row>
    <row r="171" spans="52:109" ht="17.25"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</row>
    <row r="172" spans="52:109" ht="17.25"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</row>
    <row r="173" spans="52:109" ht="17.25"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</row>
    <row r="174" spans="52:109" ht="17.25"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</row>
    <row r="175" spans="52:109" ht="17.25"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</row>
    <row r="176" spans="52:109" ht="17.25"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</row>
    <row r="177" spans="52:109" ht="17.25"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</row>
    <row r="178" spans="52:109" ht="17.25"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</row>
    <row r="179" spans="52:109" ht="17.25"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</row>
    <row r="180" spans="52:109" ht="17.25"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</row>
    <row r="181" spans="52:109" ht="17.25"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</row>
    <row r="182" spans="52:109" ht="17.25"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</row>
    <row r="183" spans="52:109" ht="17.25"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</row>
    <row r="184" spans="52:109" ht="17.25"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</row>
    <row r="185" spans="52:109" ht="17.25"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</row>
    <row r="186" spans="52:109" ht="17.25"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</row>
    <row r="187" spans="52:109" ht="17.25"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</row>
    <row r="188" spans="52:109" ht="17.25"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</row>
    <row r="189" spans="52:109" ht="17.25"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</row>
    <row r="190" spans="52:109" ht="17.25"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</row>
    <row r="191" spans="52:109" ht="17.25"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</row>
    <row r="192" spans="52:109" ht="17.25"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</row>
    <row r="193" spans="52:109" ht="17.25"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</row>
    <row r="194" spans="52:109" ht="17.25"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</row>
    <row r="195" spans="52:109" ht="17.25"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</row>
    <row r="196" spans="52:109" ht="17.25"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</row>
    <row r="197" spans="52:109" ht="17.25"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</row>
    <row r="198" spans="52:109" ht="17.25"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</row>
    <row r="199" spans="52:109" ht="17.25"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</row>
    <row r="200" spans="52:109" ht="17.25"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</row>
    <row r="201" spans="52:109" ht="17.25"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</row>
    <row r="202" spans="52:109" ht="17.25"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</row>
    <row r="203" spans="52:109" ht="17.25"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</row>
    <row r="204" spans="52:109" ht="17.25"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</row>
    <row r="205" spans="52:109" ht="17.25"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</row>
    <row r="206" spans="52:109" ht="17.25"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</row>
    <row r="207" spans="52:109" ht="17.25"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</row>
    <row r="208" spans="52:109" ht="17.25"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</row>
    <row r="209" spans="52:109" ht="17.25"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</row>
    <row r="210" spans="52:109" ht="17.25"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</row>
    <row r="211" spans="52:109" ht="17.25"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</row>
    <row r="212" spans="52:109" ht="17.25"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</row>
    <row r="213" spans="52:109" ht="17.25"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</row>
    <row r="214" spans="52:109" ht="17.25"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</row>
    <row r="215" spans="52:109" ht="17.25"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</row>
    <row r="216" spans="52:109" ht="17.25"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</row>
    <row r="217" spans="52:109" ht="17.25"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</row>
    <row r="218" spans="52:109" ht="17.25"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</row>
    <row r="219" spans="52:109" ht="17.25"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</row>
    <row r="220" spans="52:109" ht="17.25"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</row>
    <row r="221" spans="52:109" ht="17.25"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</row>
    <row r="222" spans="52:109" ht="17.25"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</row>
    <row r="223" spans="52:109" ht="17.25"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</row>
    <row r="224" spans="52:109" ht="17.25"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</row>
    <row r="225" spans="52:109" ht="17.25"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</row>
    <row r="226" spans="52:109" ht="17.25"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</row>
    <row r="227" spans="52:109" ht="17.25"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</row>
    <row r="228" spans="52:109" ht="17.25"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</row>
    <row r="229" spans="52:109" ht="17.25"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</row>
    <row r="230" spans="52:109" ht="17.25"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</row>
    <row r="231" spans="52:109" ht="17.25"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</row>
    <row r="232" spans="52:109" ht="17.25"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</row>
    <row r="233" spans="52:109" ht="17.25"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</row>
    <row r="234" spans="52:109" ht="17.25"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</row>
    <row r="235" spans="52:109" ht="17.25"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</row>
    <row r="236" spans="52:109" ht="17.25"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</row>
    <row r="237" spans="52:109" ht="17.25"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</row>
    <row r="238" spans="52:109" ht="17.25"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</row>
    <row r="239" spans="52:109" ht="17.25"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</row>
    <row r="240" spans="52:109" ht="17.25"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</row>
    <row r="241" spans="52:109" ht="17.25"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</row>
    <row r="242" spans="52:109" ht="17.25"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</row>
    <row r="243" spans="52:109" ht="17.25"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</row>
    <row r="244" spans="52:109" ht="17.25"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</row>
    <row r="245" spans="52:109" ht="17.25"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</row>
    <row r="246" spans="52:109" ht="17.25"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</row>
    <row r="247" spans="52:109" ht="17.25"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</row>
    <row r="248" spans="52:109" ht="17.25"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</row>
    <row r="249" spans="52:109" ht="17.25"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</row>
    <row r="250" spans="52:109" ht="17.25"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</row>
    <row r="251" spans="52:109" ht="17.25"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</row>
    <row r="252" spans="52:109" ht="17.25"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</row>
    <row r="253" spans="52:109" ht="17.25"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</row>
    <row r="254" spans="52:109" ht="17.25"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</row>
    <row r="255" spans="52:109" ht="17.25"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</row>
    <row r="256" spans="52:109" ht="17.25"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</row>
    <row r="257" spans="52:109" ht="17.25"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</row>
    <row r="258" spans="52:109" ht="17.25"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</row>
    <row r="259" spans="52:109" ht="17.25"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</row>
    <row r="260" spans="52:109" ht="17.25"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</row>
    <row r="261" spans="52:109" ht="17.25"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</row>
    <row r="262" spans="52:109" ht="17.25"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</row>
    <row r="263" spans="52:109" ht="17.25"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</row>
    <row r="264" spans="52:109" ht="17.25"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</row>
    <row r="265" spans="52:109" ht="17.25"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</row>
    <row r="266" spans="52:109" ht="17.25"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</row>
    <row r="267" spans="52:109" ht="17.25"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</row>
    <row r="268" spans="52:109" ht="17.25"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</row>
    <row r="269" spans="52:109" ht="17.25"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</row>
    <row r="270" spans="52:109" ht="17.25"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</row>
    <row r="271" spans="52:109" ht="17.25"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</row>
    <row r="272" spans="52:109" ht="17.25"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</row>
    <row r="273" spans="52:109" ht="17.25"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</row>
    <row r="274" spans="52:109" ht="17.25"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</row>
    <row r="275" spans="52:109" ht="17.25"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</row>
    <row r="276" spans="52:109" ht="17.25"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</row>
    <row r="277" spans="52:109" ht="17.25"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</row>
    <row r="278" spans="52:109" ht="17.25"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</row>
    <row r="279" spans="52:109" ht="17.25"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</row>
    <row r="280" spans="52:109" ht="17.25"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</row>
    <row r="281" spans="52:109" ht="17.25"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</row>
    <row r="282" spans="52:109" ht="17.25"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</row>
    <row r="283" spans="52:109" ht="17.25"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</row>
    <row r="284" spans="52:109" ht="17.25"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</row>
    <row r="285" spans="52:109" ht="17.25"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</row>
    <row r="286" spans="52:109" ht="17.25"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</row>
    <row r="287" spans="52:109" ht="17.25"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</row>
    <row r="288" spans="52:109" ht="17.25"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</row>
    <row r="289" spans="52:109" ht="17.25"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</row>
    <row r="290" spans="52:109" ht="17.25"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</row>
    <row r="291" spans="52:109" ht="17.25"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</row>
    <row r="292" spans="52:109" ht="17.25"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</row>
    <row r="293" spans="52:109" ht="17.25"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</row>
    <row r="294" spans="52:109" ht="17.25"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</row>
    <row r="295" spans="52:109" ht="17.25"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</row>
    <row r="296" spans="52:109" ht="17.25"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</row>
    <row r="297" spans="52:109" ht="17.25"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</row>
    <row r="298" spans="52:109" ht="17.25"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</row>
    <row r="299" spans="52:109" ht="17.25"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</row>
    <row r="300" spans="52:109" ht="17.25"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</row>
    <row r="301" spans="52:109" ht="17.25"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</row>
    <row r="302" spans="52:109" ht="17.25"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</row>
    <row r="303" spans="52:109" ht="17.25"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</row>
    <row r="304" spans="52:109" ht="17.25"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</row>
    <row r="305" spans="52:109" ht="17.25"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</row>
    <row r="306" spans="52:109" ht="17.25"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</row>
    <row r="307" spans="52:109" ht="17.25"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</row>
    <row r="308" spans="52:109" ht="17.25"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</row>
    <row r="309" spans="52:109" ht="17.25"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</row>
    <row r="310" spans="52:109" ht="17.25"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</row>
    <row r="311" spans="52:109" ht="17.25"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</row>
    <row r="312" spans="52:109" ht="17.25"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</row>
    <row r="313" spans="52:109" ht="17.25"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</row>
    <row r="314" spans="52:109" ht="17.25"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</row>
    <row r="315" spans="52:109" ht="17.25"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</row>
    <row r="316" spans="52:109" ht="17.25"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</row>
    <row r="317" spans="52:109" ht="17.25"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</row>
    <row r="318" spans="52:109" ht="17.25"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</row>
    <row r="319" spans="52:109" ht="17.25"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</row>
    <row r="320" spans="52:109" ht="17.25"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</row>
    <row r="321" spans="52:109" ht="17.25"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</row>
    <row r="322" spans="52:109" ht="17.25"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</row>
    <row r="323" spans="52:109" ht="17.25"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</row>
    <row r="324" spans="52:109" ht="17.25"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</row>
    <row r="325" spans="52:109" ht="17.25"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</row>
    <row r="326" spans="52:109" ht="17.25"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</row>
    <row r="327" spans="52:109" ht="17.25"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</row>
    <row r="328" spans="52:109" ht="17.25"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</row>
    <row r="329" spans="52:109" ht="17.25"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</row>
    <row r="330" spans="52:109" ht="17.25"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</row>
    <row r="331" spans="52:109" ht="17.25"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</row>
    <row r="332" spans="52:109" ht="17.25"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</row>
    <row r="333" spans="52:109" ht="17.25"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</row>
    <row r="334" spans="52:109" ht="17.25"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</row>
    <row r="335" spans="52:109" ht="17.25"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</row>
    <row r="336" spans="52:109" ht="17.25"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</row>
    <row r="337" spans="52:109" ht="17.25"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</row>
    <row r="338" spans="52:109" ht="17.25"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</row>
    <row r="339" spans="52:109" ht="17.25"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</row>
    <row r="340" spans="52:109" ht="17.25"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</row>
    <row r="341" spans="52:109" ht="17.25"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</row>
    <row r="342" spans="52:109" ht="17.25"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</row>
    <row r="343" spans="52:109" ht="17.25"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</row>
    <row r="344" spans="52:109" ht="17.25"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</row>
    <row r="345" spans="52:109" ht="17.25"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</row>
    <row r="346" spans="52:109" ht="17.25"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</row>
    <row r="347" spans="52:109" ht="17.25"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</row>
    <row r="348" spans="52:109" ht="17.25"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</row>
    <row r="349" spans="52:109" ht="17.25"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</row>
    <row r="350" spans="52:109" ht="17.25"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</row>
    <row r="351" spans="52:109" ht="17.25"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</row>
    <row r="352" spans="52:109" ht="17.25"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</row>
    <row r="353" spans="2:109" ht="17.25"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</row>
    <row r="354" spans="2:109" ht="17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</row>
    <row r="355" spans="2:109" ht="17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</row>
    <row r="356" spans="2:109" ht="17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</row>
    <row r="357" spans="2:109" ht="17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</row>
    <row r="358" spans="2:109" ht="17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</row>
    <row r="359" spans="2:109" ht="17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</row>
    <row r="360" spans="2:109" ht="17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</row>
    <row r="361" spans="2:109" ht="17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</row>
    <row r="362" spans="2:109" ht="17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</row>
    <row r="363" spans="2:109" ht="17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</row>
    <row r="364" spans="2:109" ht="17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</row>
    <row r="365" spans="2:109" ht="17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</row>
    <row r="366" spans="2:109" ht="17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</row>
    <row r="367" spans="2:109" ht="17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</row>
    <row r="368" spans="2:109" ht="17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</row>
    <row r="369" spans="2:109" ht="17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</row>
    <row r="370" spans="2:109" ht="17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</row>
    <row r="371" spans="2:109" ht="17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</row>
    <row r="372" spans="2:109" ht="17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</row>
    <row r="373" spans="2:109" ht="17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</row>
    <row r="374" spans="2:109" ht="17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</row>
    <row r="375" spans="2:109" ht="17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</row>
    <row r="376" spans="2:109" ht="17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</row>
    <row r="377" spans="2:109" ht="17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</row>
    <row r="378" spans="2:109" ht="17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</row>
    <row r="379" spans="2:109" ht="17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</row>
    <row r="380" spans="2:109" ht="17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</row>
    <row r="381" spans="2:109" ht="17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</row>
    <row r="382" spans="2:109" ht="17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</row>
    <row r="383" spans="2:109" ht="17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</row>
    <row r="384" spans="2:109" ht="17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</row>
    <row r="385" spans="2:109" ht="17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</row>
    <row r="386" spans="2:109" ht="17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</row>
    <row r="387" spans="2:109" ht="17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</row>
    <row r="388" spans="2:109" ht="17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</row>
    <row r="389" spans="2:109" ht="17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</row>
    <row r="390" spans="2:109" ht="17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</row>
    <row r="391" spans="2:109" ht="17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</row>
    <row r="392" spans="2:109" ht="17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</row>
    <row r="393" spans="2:109" ht="17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</row>
    <row r="394" spans="2:109" ht="17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</row>
    <row r="395" spans="2:109" ht="17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</row>
    <row r="396" spans="2:109" ht="17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</row>
    <row r="397" spans="2:109" ht="17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</row>
    <row r="398" spans="2:109" ht="17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</row>
    <row r="399" spans="2:109" ht="17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</row>
    <row r="400" spans="2:109" ht="17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</row>
    <row r="401" spans="2:109" ht="17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</row>
    <row r="402" spans="2:109" ht="17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</row>
    <row r="403" spans="2:109" ht="17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</row>
    <row r="404" spans="2:109" ht="17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</row>
    <row r="405" spans="2:109" ht="17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</row>
    <row r="406" spans="2:109" ht="17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</row>
    <row r="407" spans="2:109" ht="17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</row>
    <row r="408" spans="2:109" ht="17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3" sqref="C23"/>
    </sheetView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Tabelle1</vt:lpstr>
      <vt:lpstr>Tabelle2</vt:lpstr>
      <vt:lpstr>Tabelle3</vt:lpstr>
      <vt:lpstr>Tabelle4</vt:lpstr>
    </vt:vector>
  </TitlesOfParts>
  <Company>Privat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Holger Filling</dc:creator>
  <cp:lastModifiedBy>Holger Filling</cp:lastModifiedBy>
  <dcterms:created xsi:type="dcterms:W3CDTF">2020-06-17T05:17:36Z</dcterms:created>
  <dcterms:modified xsi:type="dcterms:W3CDTF">2022-10-10T12:03:59Z</dcterms:modified>
</cp:coreProperties>
</file>